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LOAVES" sheetId="1" r:id="rId4"/>
    <sheet state="visible" name="ROUGHLINE" sheetId="2" r:id="rId5"/>
    <sheet state="visible" name="SMOOTHLINE" sheetId="3" r:id="rId6"/>
    <sheet state="visible" name="ECLIPSE" sheetId="4" r:id="rId7"/>
    <sheet state="visible" name="DRIFTS" sheetId="5" r:id="rId8"/>
    <sheet state="visible" name="COMMAS" sheetId="6" r:id="rId9"/>
    <sheet state="visible" name="Fiber DT COMMAS" sheetId="7" r:id="rId10"/>
    <sheet state="visible" name="Fiber Full text" sheetId="8" r:id="rId11"/>
    <sheet state="visible" name="TOTALS" sheetId="9" r:id="rId12"/>
  </sheets>
  <definedNames/>
  <calcPr/>
  <extLst>
    <ext uri="GoogleSheetsCustomDataVersion2">
      <go:sheetsCustomData xmlns:go="http://customooxmlschemas.google.com/" r:id="rId13" roundtripDataChecksum="vb6Ua6GAzJib1LPA2SKR7aMaOONQy4xeAYIZHVWZBlA="/>
    </ext>
  </extLst>
</workbook>
</file>

<file path=xl/sharedStrings.xml><?xml version="1.0" encoding="utf-8"?>
<sst xmlns="http://schemas.openxmlformats.org/spreadsheetml/2006/main" count="773" uniqueCount="580">
  <si>
    <t>LOAVES</t>
  </si>
  <si>
    <t>RAL 1023</t>
  </si>
  <si>
    <t>RAL 3020</t>
  </si>
  <si>
    <t>RAL 5015</t>
  </si>
  <si>
    <t>RAL 9005</t>
  </si>
  <si>
    <t>RAL 2005</t>
  </si>
  <si>
    <t>PAN 802C</t>
  </si>
  <si>
    <t>PAN 806C</t>
  </si>
  <si>
    <t>RAL 4008</t>
  </si>
  <si>
    <t>RAL 6018</t>
  </si>
  <si>
    <t>US 14-01</t>
  </si>
  <si>
    <t>US 16-16</t>
  </si>
  <si>
    <t>RAL 9010</t>
  </si>
  <si>
    <t>PAN 267U</t>
  </si>
  <si>
    <t>NAME</t>
  </si>
  <si>
    <t>PHOTOS</t>
  </si>
  <si>
    <t>SET SIZE</t>
  </si>
  <si>
    <t>SKU</t>
  </si>
  <si>
    <t>PRICE (GBP)</t>
  </si>
  <si>
    <t>SETS</t>
  </si>
  <si>
    <t>HOLDS</t>
  </si>
  <si>
    <t>WEIGHT</t>
  </si>
  <si>
    <t>COST ex TAX</t>
  </si>
  <si>
    <t>FEET</t>
  </si>
  <si>
    <t>UL 01</t>
  </si>
  <si>
    <t>SMALL FEET</t>
  </si>
  <si>
    <t>UL 02</t>
  </si>
  <si>
    <t>SM DEEP FEET</t>
  </si>
  <si>
    <t>UL 03</t>
  </si>
  <si>
    <t>THIN JIBS SM</t>
  </si>
  <si>
    <t>UL 05</t>
  </si>
  <si>
    <t>THIN JIBS LG</t>
  </si>
  <si>
    <t>UL 06</t>
  </si>
  <si>
    <t>XS</t>
  </si>
  <si>
    <t>UL 10</t>
  </si>
  <si>
    <t>LG DEEP FEET</t>
  </si>
  <si>
    <t>UL 11</t>
  </si>
  <si>
    <t>SMALL</t>
  </si>
  <si>
    <t>UL 15</t>
  </si>
  <si>
    <t>XS PATCH</t>
  </si>
  <si>
    <t>UL 16</t>
  </si>
  <si>
    <t>SMALL JUGS</t>
  </si>
  <si>
    <t>UL 17</t>
  </si>
  <si>
    <t>MEDIUM</t>
  </si>
  <si>
    <t>UL 20</t>
  </si>
  <si>
    <t>MEDIUM JUGS</t>
  </si>
  <si>
    <t>N/A</t>
  </si>
  <si>
    <t>UL 21</t>
  </si>
  <si>
    <t>LARGE</t>
  </si>
  <si>
    <t>UL 25</t>
  </si>
  <si>
    <t>LG PATCH</t>
  </si>
  <si>
    <t>UL 26</t>
  </si>
  <si>
    <t>LARGE JUGS</t>
  </si>
  <si>
    <t>UL 27</t>
  </si>
  <si>
    <t>XL</t>
  </si>
  <si>
    <t>UL 30</t>
  </si>
  <si>
    <t>XXL 1</t>
  </si>
  <si>
    <t>UL 35</t>
  </si>
  <si>
    <t>XXL 2</t>
  </si>
  <si>
    <t>UL 40</t>
  </si>
  <si>
    <t>XXXL</t>
  </si>
  <si>
    <t>UL 45</t>
  </si>
  <si>
    <t>4 XL 1</t>
  </si>
  <si>
    <t>UL 50</t>
  </si>
  <si>
    <t>4 XL 2</t>
  </si>
  <si>
    <t>UL 55</t>
  </si>
  <si>
    <t>4 XL 3</t>
  </si>
  <si>
    <t>UL 60</t>
  </si>
  <si>
    <t>4 XL 4</t>
  </si>
  <si>
    <t>UL 65</t>
  </si>
  <si>
    <t>ROUGH LINE</t>
  </si>
  <si>
    <t>FOOT JIBS</t>
  </si>
  <si>
    <t>URL 01</t>
  </si>
  <si>
    <t>XS EDGES</t>
  </si>
  <si>
    <t>URL 80</t>
  </si>
  <si>
    <t>SMALL JIBS</t>
  </si>
  <si>
    <t>URL 02</t>
  </si>
  <si>
    <t>URL 05</t>
  </si>
  <si>
    <t>MED JIBS</t>
  </si>
  <si>
    <t>URL 06</t>
  </si>
  <si>
    <t>SM FEET 2</t>
  </si>
  <si>
    <t>URL 07</t>
  </si>
  <si>
    <t>MED FEET</t>
  </si>
  <si>
    <t>URL 09</t>
  </si>
  <si>
    <t>SMALL EDGES</t>
  </si>
  <si>
    <t>URL 10</t>
  </si>
  <si>
    <t>SM DEEP EDGE</t>
  </si>
  <si>
    <t>URL 11</t>
  </si>
  <si>
    <t>SMALL EDGE 2</t>
  </si>
  <si>
    <t>URL 12</t>
  </si>
  <si>
    <t>SM STEEP EDGE</t>
  </si>
  <si>
    <t>URL 13</t>
  </si>
  <si>
    <t>LG FIN EDGE</t>
  </si>
  <si>
    <t>URL 14</t>
  </si>
  <si>
    <t>MED EDGES</t>
  </si>
  <si>
    <t>URL 20</t>
  </si>
  <si>
    <t>MED EDGE 2</t>
  </si>
  <si>
    <t>URL 21</t>
  </si>
  <si>
    <t>MED EDGE 3</t>
  </si>
  <si>
    <t>URL 22</t>
  </si>
  <si>
    <t>MED LONG EDGE</t>
  </si>
  <si>
    <t>URL 24</t>
  </si>
  <si>
    <t>MEDIUM FLAKES</t>
  </si>
  <si>
    <t>URL 25</t>
  </si>
  <si>
    <t>LG SLOPE EDGE</t>
  </si>
  <si>
    <t>URL 30</t>
  </si>
  <si>
    <t>LG EDGE 1</t>
  </si>
  <si>
    <t>URL 31</t>
  </si>
  <si>
    <t>LG LONG EDGE</t>
  </si>
  <si>
    <t>URL 33</t>
  </si>
  <si>
    <t>LG LOW PINCH</t>
  </si>
  <si>
    <t>URL 34</t>
  </si>
  <si>
    <t>LG FLAKES</t>
  </si>
  <si>
    <t>URL 35</t>
  </si>
  <si>
    <t>XL PINCHES</t>
  </si>
  <si>
    <t>URL 40</t>
  </si>
  <si>
    <t>XL PINCHES 1</t>
  </si>
  <si>
    <t>URL 41</t>
  </si>
  <si>
    <t>XL SLOPE EDGE</t>
  </si>
  <si>
    <t>URL 50</t>
  </si>
  <si>
    <t>XL LONG EDGE</t>
  </si>
  <si>
    <t>URL 51</t>
  </si>
  <si>
    <t>SM JUGS</t>
  </si>
  <si>
    <t>URL 60</t>
  </si>
  <si>
    <t>MED JUGS 1</t>
  </si>
  <si>
    <t>URL 61</t>
  </si>
  <si>
    <t>MED JUGS 2</t>
  </si>
  <si>
    <t>URL 62</t>
  </si>
  <si>
    <t xml:space="preserve">LG JUGS </t>
  </si>
  <si>
    <t>URL 65</t>
  </si>
  <si>
    <t>LG JUGS 2</t>
  </si>
  <si>
    <t>URL 66</t>
  </si>
  <si>
    <t>SMOOTH LINE</t>
  </si>
  <si>
    <t>PRICE</t>
  </si>
  <si>
    <t>POCKETS</t>
  </si>
  <si>
    <t>UP 01</t>
  </si>
  <si>
    <t>UP 05</t>
  </si>
  <si>
    <t>UP 10</t>
  </si>
  <si>
    <t>LARGE SLOTS</t>
  </si>
  <si>
    <t>UP 15</t>
  </si>
  <si>
    <t xml:space="preserve">LARGE </t>
  </si>
  <si>
    <t>UP 20</t>
  </si>
  <si>
    <t>XL SLOTS</t>
  </si>
  <si>
    <t>UP 25</t>
  </si>
  <si>
    <t xml:space="preserve">XL </t>
  </si>
  <si>
    <t>UP 30</t>
  </si>
  <si>
    <t>XL 2</t>
  </si>
  <si>
    <t>UP 31</t>
  </si>
  <si>
    <t>XL 3</t>
  </si>
  <si>
    <t>UP 32</t>
  </si>
  <si>
    <t>FEATURE 1</t>
  </si>
  <si>
    <t>UP 40</t>
  </si>
  <si>
    <t>FEATURE 2</t>
  </si>
  <si>
    <t>UP 41</t>
  </si>
  <si>
    <t>FEATURE 3</t>
  </si>
  <si>
    <t>UP 42</t>
  </si>
  <si>
    <t>SLOPERS</t>
  </si>
  <si>
    <t>USL 01</t>
  </si>
  <si>
    <t>USL 03</t>
  </si>
  <si>
    <t>USL 04</t>
  </si>
  <si>
    <t>MED SLOPER FEET</t>
  </si>
  <si>
    <t>USL 05</t>
  </si>
  <si>
    <t>MEDIUM FEET</t>
  </si>
  <si>
    <t>USL 06</t>
  </si>
  <si>
    <t>LARGE FEET</t>
  </si>
  <si>
    <t>USL 07</t>
  </si>
  <si>
    <t>USL 10</t>
  </si>
  <si>
    <t>USL 15</t>
  </si>
  <si>
    <t>LG ROUND EDGE</t>
  </si>
  <si>
    <t>USL 20</t>
  </si>
  <si>
    <t>LG DIMPLE EDGE</t>
  </si>
  <si>
    <t>USL 21</t>
  </si>
  <si>
    <t>LG ROUND LEDGE</t>
  </si>
  <si>
    <t>USL 60</t>
  </si>
  <si>
    <t>XL SLOPERS</t>
  </si>
  <si>
    <t>USL 30</t>
  </si>
  <si>
    <t>XXL SLOPERS</t>
  </si>
  <si>
    <t>USL 40</t>
  </si>
  <si>
    <t>LARGE PINCHES</t>
  </si>
  <si>
    <t>USL 79</t>
  </si>
  <si>
    <t>XXL PINCHES</t>
  </si>
  <si>
    <t>USL 85</t>
  </si>
  <si>
    <t>LARGE JUGS 1</t>
  </si>
  <si>
    <t>USL 50</t>
  </si>
  <si>
    <t>LARGE JUGS 2</t>
  </si>
  <si>
    <t>USL 51</t>
  </si>
  <si>
    <t>XL JUGS 1</t>
  </si>
  <si>
    <t>USL 55</t>
  </si>
  <si>
    <t>XL JUGS 2</t>
  </si>
  <si>
    <t>USL 56</t>
  </si>
  <si>
    <t>XXL JUGS 1</t>
  </si>
  <si>
    <t>USL 57</t>
  </si>
  <si>
    <t>XXXL JUGS 1</t>
  </si>
  <si>
    <t>USL 58</t>
  </si>
  <si>
    <t>XL LEDGES 1</t>
  </si>
  <si>
    <t>USL 65</t>
  </si>
  <si>
    <t>XL LEDGES 2</t>
  </si>
  <si>
    <t>USL 66</t>
  </si>
  <si>
    <t>XXL LEDGES 1</t>
  </si>
  <si>
    <t>USL 70</t>
  </si>
  <si>
    <t>XXL LEDGES 2</t>
  </si>
  <si>
    <t>USL 71</t>
  </si>
  <si>
    <t>XXXL LEDGES 1</t>
  </si>
  <si>
    <t>USL 75</t>
  </si>
  <si>
    <t>ECLIPSE</t>
  </si>
  <si>
    <t>PHOTO</t>
  </si>
  <si>
    <t>TOTAL ex TAX</t>
  </si>
  <si>
    <t>SET A</t>
  </si>
  <si>
    <t>UBE 01</t>
  </si>
  <si>
    <t>EDGES</t>
  </si>
  <si>
    <t>UBE 02</t>
  </si>
  <si>
    <t>SET B</t>
  </si>
  <si>
    <t>UBE 05</t>
  </si>
  <si>
    <t>SET C</t>
  </si>
  <si>
    <t>UBE 10</t>
  </si>
  <si>
    <t>SET D</t>
  </si>
  <si>
    <t>UBE 15</t>
  </si>
  <si>
    <t>SET E</t>
  </si>
  <si>
    <t>UBE 20</t>
  </si>
  <si>
    <t>JUGS SET A</t>
  </si>
  <si>
    <t>UBE 21</t>
  </si>
  <si>
    <t>JUGS SET B</t>
  </si>
  <si>
    <t>UBE 22</t>
  </si>
  <si>
    <t>JUGS SET C</t>
  </si>
  <si>
    <t>UBE 23</t>
  </si>
  <si>
    <t>JUGS SET D</t>
  </si>
  <si>
    <t>UBE 24</t>
  </si>
  <si>
    <t>SMALL EDGE 1</t>
  </si>
  <si>
    <t>UBE 74</t>
  </si>
  <si>
    <t>UBE 75</t>
  </si>
  <si>
    <t>XXS FEET 1</t>
  </si>
  <si>
    <t>UBE 85</t>
  </si>
  <si>
    <t>XXS FEET 2</t>
  </si>
  <si>
    <t xml:space="preserve">UBE 86 </t>
  </si>
  <si>
    <t>XS FEET 1</t>
  </si>
  <si>
    <t>UBE 77</t>
  </si>
  <si>
    <t>XS FEET 2</t>
  </si>
  <si>
    <t>UBE 78</t>
  </si>
  <si>
    <t>SMALL FEET 1</t>
  </si>
  <si>
    <t>UBE 76</t>
  </si>
  <si>
    <t>SMALL FEET 2</t>
  </si>
  <si>
    <t>UBE 79</t>
  </si>
  <si>
    <t>SMALL DEEP FEET</t>
  </si>
  <si>
    <t>UBE 80</t>
  </si>
  <si>
    <t>BLOCKERS</t>
  </si>
  <si>
    <t>SET A1</t>
  </si>
  <si>
    <t>UBE 25</t>
  </si>
  <si>
    <t>SET A2</t>
  </si>
  <si>
    <t>UBE 30</t>
  </si>
  <si>
    <t>SET B1</t>
  </si>
  <si>
    <t>UBE 35</t>
  </si>
  <si>
    <t>SET B2</t>
  </si>
  <si>
    <t>UBE 40</t>
  </si>
  <si>
    <t>SET C1</t>
  </si>
  <si>
    <t>UBE 45</t>
  </si>
  <si>
    <t>SET C2</t>
  </si>
  <si>
    <t>UBE 50</t>
  </si>
  <si>
    <t>SET D1</t>
  </si>
  <si>
    <t>UBE 55</t>
  </si>
  <si>
    <t>SET D2</t>
  </si>
  <si>
    <t>UBE 60</t>
  </si>
  <si>
    <t>SET E1</t>
  </si>
  <si>
    <t>UBE 65</t>
  </si>
  <si>
    <t>SET E2</t>
  </si>
  <si>
    <t>UBE 70</t>
  </si>
  <si>
    <t>DRIFTS</t>
  </si>
  <si>
    <t>SM FEET 1</t>
  </si>
  <si>
    <t>UD 01</t>
  </si>
  <si>
    <t>TECH FEET</t>
  </si>
  <si>
    <t>UD 04</t>
  </si>
  <si>
    <t>UD 05</t>
  </si>
  <si>
    <t>XS FEET</t>
  </si>
  <si>
    <t>UD 06</t>
  </si>
  <si>
    <t>LG FEET</t>
  </si>
  <si>
    <t>UD 07</t>
  </si>
  <si>
    <t>FEINT EDGES</t>
  </si>
  <si>
    <t>UD 08</t>
  </si>
  <si>
    <t>UD 09</t>
  </si>
  <si>
    <t xml:space="preserve">PLATE EDGES </t>
  </si>
  <si>
    <t>UD 10</t>
  </si>
  <si>
    <t xml:space="preserve">LG EDGES </t>
  </si>
  <si>
    <t>UD 11</t>
  </si>
  <si>
    <t>LG INCUTS</t>
  </si>
  <si>
    <t>UD 12</t>
  </si>
  <si>
    <t>LARGE PINCH</t>
  </si>
  <si>
    <t>UD 13</t>
  </si>
  <si>
    <t>SM EDGES 1</t>
  </si>
  <si>
    <t>UD 15</t>
  </si>
  <si>
    <t>SM EDGES 2</t>
  </si>
  <si>
    <t>UD 16</t>
  </si>
  <si>
    <t>UD 17</t>
  </si>
  <si>
    <t>RIB INCUTS</t>
  </si>
  <si>
    <t>UD 18</t>
  </si>
  <si>
    <t>FLAT EDGES</t>
  </si>
  <si>
    <t>UD 19</t>
  </si>
  <si>
    <t>SM JUGS 1</t>
  </si>
  <si>
    <t>UD 20</t>
  </si>
  <si>
    <t>UD 25</t>
  </si>
  <si>
    <t>UD 30</t>
  </si>
  <si>
    <t>LG JUGS 1</t>
  </si>
  <si>
    <t>UD 35</t>
  </si>
  <si>
    <t>UD 40</t>
  </si>
  <si>
    <t>UD 45</t>
  </si>
  <si>
    <t>UD 50</t>
  </si>
  <si>
    <t>XL ROUND LEDGE</t>
  </si>
  <si>
    <t>UD 41</t>
  </si>
  <si>
    <t>MIXED LEDGE</t>
  </si>
  <si>
    <t>UD 42</t>
  </si>
  <si>
    <t>XL INCUT LEDGE</t>
  </si>
  <si>
    <t>UD 43</t>
  </si>
  <si>
    <t>4XL FEATURE</t>
  </si>
  <si>
    <t>UD 70</t>
  </si>
  <si>
    <t>MONSTER 2</t>
  </si>
  <si>
    <t>UD 66</t>
  </si>
  <si>
    <t>MONSTER 4</t>
  </si>
  <si>
    <t>UD 68</t>
  </si>
  <si>
    <t>COMMAS</t>
  </si>
  <si>
    <t>UC 01</t>
  </si>
  <si>
    <t>UC O5</t>
  </si>
  <si>
    <t>UC 10</t>
  </si>
  <si>
    <t>SMALL EDGE</t>
  </si>
  <si>
    <t>UC 15</t>
  </si>
  <si>
    <t>SMALL DEEP EDGE</t>
  </si>
  <si>
    <t>UC 20</t>
  </si>
  <si>
    <t>SMALL SCOOP EDGE</t>
  </si>
  <si>
    <t>UC 25</t>
  </si>
  <si>
    <t>MEDIUM EDGE 1</t>
  </si>
  <si>
    <t>UC 30</t>
  </si>
  <si>
    <t>MEDIUM EDGE 2</t>
  </si>
  <si>
    <t>UC 35</t>
  </si>
  <si>
    <t>LARGE EDGE 3</t>
  </si>
  <si>
    <t>UC 50</t>
  </si>
  <si>
    <t>UC 55</t>
  </si>
  <si>
    <t>UC 60</t>
  </si>
  <si>
    <t>XXXL SLOPERS</t>
  </si>
  <si>
    <t>UC 65</t>
  </si>
  <si>
    <r>
      <rPr>
        <rFont val="Calibri"/>
        <b/>
        <color theme="1"/>
        <sz val="24.0"/>
      </rPr>
      <t xml:space="preserve"> </t>
    </r>
    <r>
      <rPr>
        <rFont val="Calibri"/>
        <b/>
        <color theme="1"/>
        <sz val="36.0"/>
      </rPr>
      <t>COMMAS DUAL TEX</t>
    </r>
  </si>
  <si>
    <t>HOLD SIZE</t>
  </si>
  <si>
    <t>UNITS</t>
  </si>
  <si>
    <t xml:space="preserve">Pack of 8 Commas Pinces. </t>
  </si>
  <si>
    <t xml:space="preserve">10% dscount </t>
  </si>
  <si>
    <t>Small Pinches 1</t>
  </si>
  <si>
    <t>40 x 28 x 12 40 x 20 x 13 40 x 20 x 10 38 x 20 x 8</t>
  </si>
  <si>
    <t>UCF 49 UCF 50 UCF 51 UCF 52</t>
  </si>
  <si>
    <t>small Pinches 2</t>
  </si>
  <si>
    <t>35*17*9</t>
  </si>
  <si>
    <t>UCF 63  UCF 64  UCF 65  USC 66</t>
  </si>
  <si>
    <t xml:space="preserve">Pack of  13 Commas Slopers &amp; Edges </t>
  </si>
  <si>
    <t>Comma Sloper 1</t>
  </si>
  <si>
    <t>48 x 24 x 13</t>
  </si>
  <si>
    <t>UCF 46</t>
  </si>
  <si>
    <t>Comma Sloper 2</t>
  </si>
  <si>
    <t>50 x 24 x 13</t>
  </si>
  <si>
    <t>UCF 47</t>
  </si>
  <si>
    <t>Comma Sloper 3</t>
  </si>
  <si>
    <t>90 x 40 x 16</t>
  </si>
  <si>
    <t>UCF 38</t>
  </si>
  <si>
    <t>Comma Sloper 4</t>
  </si>
  <si>
    <t>80 x 38 x 18</t>
  </si>
  <si>
    <t>UCF 39</t>
  </si>
  <si>
    <t>Comma Sloper 5</t>
  </si>
  <si>
    <t>83 x 35 x 18</t>
  </si>
  <si>
    <t>UCF 40</t>
  </si>
  <si>
    <t>Comma Sloper 6</t>
  </si>
  <si>
    <t>82 X 30 X 12</t>
  </si>
  <si>
    <t>UCF 73</t>
  </si>
  <si>
    <t>Comma Sloper 7</t>
  </si>
  <si>
    <t>80 X 36 X 14</t>
  </si>
  <si>
    <t>UCF 74</t>
  </si>
  <si>
    <t>Comma Sloper 8</t>
  </si>
  <si>
    <t>78 x 40 x 12</t>
  </si>
  <si>
    <t>UCF 42</t>
  </si>
  <si>
    <t>Comma Sloper 9</t>
  </si>
  <si>
    <t>50 x 245 x13</t>
  </si>
  <si>
    <t>UCF 48</t>
  </si>
  <si>
    <t>Comma Sloper 10</t>
  </si>
  <si>
    <t>74 x 30 x 13</t>
  </si>
  <si>
    <t>UCF 43</t>
  </si>
  <si>
    <t>Comma Sloper 11</t>
  </si>
  <si>
    <t>70 x 30 x 12</t>
  </si>
  <si>
    <t>UCF 44</t>
  </si>
  <si>
    <t>Comma Sloper 12</t>
  </si>
  <si>
    <t>84 X 34 X 13</t>
  </si>
  <si>
    <t>UCF 83</t>
  </si>
  <si>
    <t>Comma Sloper 13</t>
  </si>
  <si>
    <t>UCF 84</t>
  </si>
  <si>
    <t xml:space="preserve">Pack of 7 Commas Rails </t>
  </si>
  <si>
    <t>5% discount</t>
  </si>
  <si>
    <t>Comma Rail 1</t>
  </si>
  <si>
    <t>49 X 13 X 8</t>
  </si>
  <si>
    <t>UCF 85</t>
  </si>
  <si>
    <t>Comma Rail 2</t>
  </si>
  <si>
    <t>62 X 10 X 8</t>
  </si>
  <si>
    <t>UCF 86</t>
  </si>
  <si>
    <t>Comma Rail 3</t>
  </si>
  <si>
    <t>78 X 13 X 9</t>
  </si>
  <si>
    <t>UCF 87</t>
  </si>
  <si>
    <t>Comma Rail 4</t>
  </si>
  <si>
    <t>100 X 30 X 13</t>
  </si>
  <si>
    <t>UCF 88</t>
  </si>
  <si>
    <t>Comma Rail 5</t>
  </si>
  <si>
    <t>102 X 23 X 15</t>
  </si>
  <si>
    <t>UCF 89</t>
  </si>
  <si>
    <t>Comma Rail 6</t>
  </si>
  <si>
    <t>86 X 26 X 16</t>
  </si>
  <si>
    <t>UCF 90</t>
  </si>
  <si>
    <t>Comma Rail 7</t>
  </si>
  <si>
    <t>68 X 21 X 8</t>
  </si>
  <si>
    <t>UCF 91</t>
  </si>
  <si>
    <t>Pack of  23 small Slopers Commas</t>
  </si>
  <si>
    <t>10% discount</t>
  </si>
  <si>
    <t>Comma Small Sloper 1</t>
  </si>
  <si>
    <t>40 X 20 X 10 40 X 20 X 10</t>
  </si>
  <si>
    <t>UCF 53 UCF 54</t>
  </si>
  <si>
    <t>Comma Small Sloper 2</t>
  </si>
  <si>
    <t>30 X 22 X 10 30 X 22 X 10</t>
  </si>
  <si>
    <t>UCF 55 UCF 56</t>
  </si>
  <si>
    <t>Comma Small Sloper 3</t>
  </si>
  <si>
    <t>18 X 25 X 10 18 X 25 X 10</t>
  </si>
  <si>
    <t>UCF 57 UCF 58</t>
  </si>
  <si>
    <t>Comma Small Sloper 4</t>
  </si>
  <si>
    <t>UCF 59 UCF 60</t>
  </si>
  <si>
    <t>Comma Small Sloper 5</t>
  </si>
  <si>
    <t>20 X 26 X 8   20 X 26 X 8</t>
  </si>
  <si>
    <t>UCF 61 UCF 62</t>
  </si>
  <si>
    <t>Comma Small Sloper 6</t>
  </si>
  <si>
    <t>30 X 19 X 10 30 X 19 X 10</t>
  </si>
  <si>
    <t>UCF 67 UCF 68</t>
  </si>
  <si>
    <t>Comma Small Sloper 7</t>
  </si>
  <si>
    <t>NEW</t>
  </si>
  <si>
    <t>15 X 10 X 6   15 X 10 X 6   15 X 10 X 6   15 X 10 X 6</t>
  </si>
  <si>
    <t>UCF 76 UCF 77 UCF 78 UCF 79</t>
  </si>
  <si>
    <t>Comma Small Sloper 8</t>
  </si>
  <si>
    <t>UCF 92 UCF 93 UCF 94 UCF 95</t>
  </si>
  <si>
    <t>Comma Small Sloper 9</t>
  </si>
  <si>
    <t>36 X 24 X 14 36 X 24 X 14 36 X 24 X 14</t>
  </si>
  <si>
    <t>UCF 69 UCF 70 UCF 71</t>
  </si>
  <si>
    <t>FIBERGLASS MACROS</t>
  </si>
  <si>
    <t>FLURO</t>
  </si>
  <si>
    <t>Big Pack Originals + Loaves  ( 18 Macros)</t>
  </si>
  <si>
    <t>Discount 10%</t>
  </si>
  <si>
    <t>Original 1</t>
  </si>
  <si>
    <t>78 x 32 x 15</t>
  </si>
  <si>
    <t>UCF 01</t>
  </si>
  <si>
    <t>Original 2</t>
  </si>
  <si>
    <t>74 x 30 x 14</t>
  </si>
  <si>
    <t>UCF 02</t>
  </si>
  <si>
    <t>Original 3</t>
  </si>
  <si>
    <t>80 x 28 x 16</t>
  </si>
  <si>
    <t>UCF 03</t>
  </si>
  <si>
    <t>Original 4</t>
  </si>
  <si>
    <t>80 x 26 x 13</t>
  </si>
  <si>
    <t>UCF 04</t>
  </si>
  <si>
    <t>Original 5</t>
  </si>
  <si>
    <t>69 x 29 x 13</t>
  </si>
  <si>
    <t>UCF 05</t>
  </si>
  <si>
    <t>Original 6</t>
  </si>
  <si>
    <t>70 x 32 x 16</t>
  </si>
  <si>
    <t>UCF 06</t>
  </si>
  <si>
    <t>LOAVES Pack (12 macros )</t>
  </si>
  <si>
    <t>LOAVES 1</t>
  </si>
  <si>
    <t>78 x 20 x 10</t>
  </si>
  <si>
    <t>UCF 07</t>
  </si>
  <si>
    <t>LOAVES 2</t>
  </si>
  <si>
    <t>78 x 20 x 9</t>
  </si>
  <si>
    <t>UCF 08</t>
  </si>
  <si>
    <t>LOAVES 3</t>
  </si>
  <si>
    <t>80 x 19 x 8</t>
  </si>
  <si>
    <t>UCF 09</t>
  </si>
  <si>
    <t>LOAVES 4</t>
  </si>
  <si>
    <t>50 X 13 X 8</t>
  </si>
  <si>
    <t>UCF 80</t>
  </si>
  <si>
    <t>LOAVES 5</t>
  </si>
  <si>
    <t>UCF 81</t>
  </si>
  <si>
    <t>LOAVES 6</t>
  </si>
  <si>
    <t>UCF 82</t>
  </si>
  <si>
    <t>LOAVES 7</t>
  </si>
  <si>
    <t>68 x 17 x 8</t>
  </si>
  <si>
    <t>UCF 10</t>
  </si>
  <si>
    <t>LOAVES 8</t>
  </si>
  <si>
    <t>68 x 20 x 9</t>
  </si>
  <si>
    <t>UCF 11</t>
  </si>
  <si>
    <t>LOAVES 9</t>
  </si>
  <si>
    <t>68 x 19 x 10</t>
  </si>
  <si>
    <t>UCF 12</t>
  </si>
  <si>
    <t>LOAVES 10</t>
  </si>
  <si>
    <t>66 x 18 x 9</t>
  </si>
  <si>
    <t>UCF 13</t>
  </si>
  <si>
    <t>LOAVES 11</t>
  </si>
  <si>
    <t>80 x 20 x 10</t>
  </si>
  <si>
    <t>UCF 14</t>
  </si>
  <si>
    <t>LOAVES 12</t>
  </si>
  <si>
    <t>75 x 20 x 10</t>
  </si>
  <si>
    <t>UCF 15</t>
  </si>
  <si>
    <t xml:space="preserve">Angles Pack </t>
  </si>
  <si>
    <t>Angles 1</t>
  </si>
  <si>
    <t>60 x 46 x 13</t>
  </si>
  <si>
    <t>UCF 16</t>
  </si>
  <si>
    <t>Angles 2</t>
  </si>
  <si>
    <t>60 x 45 x 12</t>
  </si>
  <si>
    <t>UCF 17</t>
  </si>
  <si>
    <t>Angles 3</t>
  </si>
  <si>
    <t>60 x 45 x 15</t>
  </si>
  <si>
    <t>UCF 18</t>
  </si>
  <si>
    <t>Angles 4</t>
  </si>
  <si>
    <t>UCF 19</t>
  </si>
  <si>
    <t>Angles 5</t>
  </si>
  <si>
    <t>UCF 20</t>
  </si>
  <si>
    <t>Angles 6</t>
  </si>
  <si>
    <t>58 x 38 x 11</t>
  </si>
  <si>
    <t>UCF 21</t>
  </si>
  <si>
    <t>Angles 7</t>
  </si>
  <si>
    <t>UCF 22</t>
  </si>
  <si>
    <t>Angles 8</t>
  </si>
  <si>
    <t>UCF 23</t>
  </si>
  <si>
    <t>Angles 9</t>
  </si>
  <si>
    <t>55 x 28 x 8 56 x 28 x 9 55 x 23 x 10 58 x 30 x 10</t>
  </si>
  <si>
    <t>UCF 26 UCF 27 UCF 28 UCF 29</t>
  </si>
  <si>
    <t>Angles 10</t>
  </si>
  <si>
    <t>70 x 70 x 16</t>
  </si>
  <si>
    <t>UCF 30</t>
  </si>
  <si>
    <t>Angles 11</t>
  </si>
  <si>
    <t>70 x 70 x 17</t>
  </si>
  <si>
    <t>UCF 31</t>
  </si>
  <si>
    <t>Angles 12</t>
  </si>
  <si>
    <t>110 x 40 x 12</t>
  </si>
  <si>
    <t>UCF 32</t>
  </si>
  <si>
    <t>Angles 13</t>
  </si>
  <si>
    <t>110 x 50 x 12</t>
  </si>
  <si>
    <t>UCF 33</t>
  </si>
  <si>
    <t>Angles 14</t>
  </si>
  <si>
    <t>PIC COMING SOON</t>
  </si>
  <si>
    <t>76 x 30 x 13</t>
  </si>
  <si>
    <t>UCF 34</t>
  </si>
  <si>
    <t>Angles 15</t>
  </si>
  <si>
    <t>75 x 25 x 10</t>
  </si>
  <si>
    <t>UCF 35</t>
  </si>
  <si>
    <t>Angles 16</t>
  </si>
  <si>
    <t>UCF 36</t>
  </si>
  <si>
    <t>Angles 17</t>
  </si>
  <si>
    <t>UCF 37</t>
  </si>
  <si>
    <t>PRICES ARE VALID UNTILL END JUNE 2023</t>
  </si>
  <si>
    <t xml:space="preserve">COLOURS: 2-BRIGHT YELLOW. 5-TRAFFIC RED. 7-SKY BLUE. 10-BLACK. 11-FLURO ORANGE. 12-FLURO GREEN. 13-FLURO PINK. </t>
  </si>
  <si>
    <t>16-SIGNAL VIOLET. 69-LIGHT GREEN. 76-BURNT ORANGE. 77-US GREEN. 79-PURE WHITE. 81-PURPLE</t>
  </si>
  <si>
    <t xml:space="preserve">Total </t>
  </si>
  <si>
    <t>KG</t>
  </si>
  <si>
    <t>COLOURS</t>
  </si>
  <si>
    <t>BRIGHT YELLOW - RAL 1023</t>
  </si>
  <si>
    <t>TRAFFIC RED - RAL 3020</t>
  </si>
  <si>
    <t>SKY BLUE - RAL 5015</t>
  </si>
  <si>
    <t>BLACK - RAL 9005</t>
  </si>
  <si>
    <t>FLURO ORANGE - RAL 2005</t>
  </si>
  <si>
    <t>FLURO GREEN - PAN. 802C</t>
  </si>
  <si>
    <t>FLURO PINK - PAN. 806C</t>
  </si>
  <si>
    <t>SIGNAL VIOLET - RAL 4008</t>
  </si>
  <si>
    <t>LIGHT GREEN - RAL 6018</t>
  </si>
  <si>
    <t>BURNT ORANGE - US 14-01</t>
  </si>
  <si>
    <t>SMOOTH LINE (POCKETS)</t>
  </si>
  <si>
    <t>US GREEN - US 16-16</t>
  </si>
  <si>
    <t>PURE WHITE - RAL 9001</t>
  </si>
  <si>
    <t>SMOOTH LINE (SLOPERS)</t>
  </si>
  <si>
    <t>US PURPLE - PAN 267u</t>
  </si>
  <si>
    <t>FUL TEX FIBERGLASS</t>
  </si>
  <si>
    <t>XX</t>
  </si>
  <si>
    <t>COMMAS DT FIBERGLASS</t>
  </si>
  <si>
    <t>TOTAL SETS PER COLOUR</t>
  </si>
  <si>
    <t>SHIPPING DETAILS</t>
  </si>
  <si>
    <t>COMPANY NAME</t>
  </si>
  <si>
    <t>TOTAL SETS</t>
  </si>
  <si>
    <t>ADDRESS</t>
  </si>
  <si>
    <t>TOTAL HOLDS</t>
  </si>
  <si>
    <t>TOTAL WEIGHT</t>
  </si>
  <si>
    <t>TOTAL COST ex TAX</t>
  </si>
  <si>
    <t>TAX</t>
  </si>
  <si>
    <t>POST CODE</t>
  </si>
  <si>
    <t>COUNTRY</t>
  </si>
  <si>
    <t>TOTAL ORDER COST</t>
  </si>
  <si>
    <t>PHONE NUMBER</t>
  </si>
  <si>
    <t>EMAIL</t>
  </si>
  <si>
    <t>YOUR REFERENCE NUMBER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</si>
</sst>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_-[$$-C09]* #,##0.00_-;\-[$$-C09]* #,##0.00_-;_-[$$-C09]* &quot;-&quot;??_-;_-@"/>
    <numFmt numFmtId="165" formatCode="_-&quot;$&quot;* #,##0.00_-;\-&quot;$&quot;* #,##0.00_-;_-&quot;$&quot;* &quot;-&quot;??_-;_-@"/>
    <numFmt numFmtId="166" formatCode="[$£-809]#,##0.00"/>
    <numFmt numFmtId="167" formatCode="_-* #,##0.00\ [$€-40C]_-;\-* #,##0.00\ [$€-40C]_-;_-* &quot;-&quot;??\ [$€-40C]_-;_-@"/>
    <numFmt numFmtId="168" formatCode="#,##0\ [$€-1]"/>
    <numFmt numFmtId="169" formatCode="0.0"/>
    <numFmt numFmtId="170" formatCode="_-[$€-2]\ * #,##0.00_-;\-[$€-2]\ * #,##0.00_-;_-[$€-2]\ * &quot;-&quot;??_-;_-@"/>
  </numFmts>
  <fonts count="34">
    <font>
      <sz val="11.0"/>
      <color theme="1"/>
      <name val="Calibri"/>
      <scheme val="minor"/>
    </font>
    <font>
      <b/>
      <sz val="28.0"/>
      <color theme="1"/>
      <name val="Calibri"/>
    </font>
    <font>
      <b/>
      <sz val="11.0"/>
      <color theme="1"/>
      <name val="Calibri"/>
    </font>
    <font>
      <b/>
      <sz val="11.0"/>
      <color theme="0"/>
      <name val="Calibri"/>
    </font>
    <font>
      <sz val="11.0"/>
      <color theme="1"/>
      <name val="Calibri"/>
    </font>
    <font>
      <sz val="11.0"/>
      <color theme="0"/>
      <name val="Calibri"/>
    </font>
    <font>
      <sz val="20.0"/>
      <color theme="1"/>
      <name val="Calibri"/>
    </font>
    <font>
      <sz val="20.0"/>
      <color theme="0"/>
      <name val="Calibri"/>
    </font>
    <font>
      <b/>
      <sz val="26.0"/>
      <color theme="1"/>
      <name val="Calibri"/>
    </font>
    <font/>
    <font>
      <b/>
      <sz val="20.0"/>
      <color theme="1"/>
      <name val="Calibri"/>
    </font>
    <font>
      <b/>
      <sz val="22.0"/>
      <color theme="1"/>
      <name val="Calibri"/>
    </font>
    <font>
      <sz val="22.0"/>
      <color theme="1"/>
      <name val="Calibri"/>
    </font>
    <font>
      <b/>
      <sz val="28.0"/>
      <color rgb="FFFF0000"/>
      <name val="Calibri"/>
    </font>
    <font>
      <b/>
      <sz val="9.0"/>
      <color theme="1"/>
      <name val="Calibri"/>
    </font>
    <font>
      <b/>
      <sz val="10.0"/>
      <color theme="1"/>
      <name val="Calibri"/>
    </font>
    <font>
      <b/>
      <sz val="24.0"/>
      <color theme="1"/>
      <name val="Calibri"/>
    </font>
    <font>
      <b/>
      <sz val="17.0"/>
      <color theme="1"/>
      <name val="Calibri"/>
    </font>
    <font>
      <b/>
      <sz val="14.0"/>
      <color theme="1"/>
      <name val="Calibri"/>
    </font>
    <font>
      <b/>
      <sz val="14.0"/>
      <color rgb="FFFF0000"/>
      <name val="Calibri"/>
    </font>
    <font>
      <b/>
      <sz val="13.0"/>
      <color theme="1"/>
      <name val="Calibri"/>
    </font>
    <font>
      <b/>
      <sz val="14.0"/>
      <color theme="0"/>
      <name val="Calibri"/>
    </font>
    <font>
      <color theme="1"/>
      <name val="Calibri"/>
      <scheme val="minor"/>
    </font>
    <font>
      <b/>
      <sz val="13.0"/>
      <color rgb="FFFF0000"/>
      <name val="Calibri"/>
    </font>
    <font>
      <b/>
      <sz val="13.0"/>
      <color theme="0"/>
      <name val="Calibri"/>
    </font>
    <font>
      <b/>
      <sz val="16.0"/>
      <color theme="1"/>
      <name val="Calibri"/>
    </font>
    <font>
      <b/>
      <sz val="18.0"/>
      <color theme="1"/>
      <name val="Calibri"/>
    </font>
    <font>
      <b/>
      <sz val="15.0"/>
      <color theme="1"/>
      <name val="Calibri"/>
    </font>
    <font>
      <sz val="16.0"/>
      <color theme="1"/>
      <name val="Calibri"/>
    </font>
    <font>
      <b/>
      <sz val="10.0"/>
      <color rgb="FFFF0000"/>
      <name val="Calibri"/>
    </font>
    <font>
      <sz val="11.0"/>
      <color rgb="FFFFFFFF"/>
      <name val="Calibri"/>
    </font>
    <font>
      <b/>
      <sz val="11.0"/>
      <color rgb="FFFF0000"/>
      <name val="Calibri"/>
    </font>
    <font>
      <sz val="10.0"/>
      <color theme="1"/>
      <name val="Calibri"/>
    </font>
    <font>
      <sz val="12.0"/>
      <color theme="1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00B0F0"/>
        <bgColor rgb="FF00B0F0"/>
      </patternFill>
    </fill>
    <fill>
      <patternFill patternType="solid">
        <fgColor theme="1"/>
        <bgColor theme="1"/>
      </patternFill>
    </fill>
    <fill>
      <patternFill patternType="solid">
        <fgColor theme="7"/>
        <bgColor theme="7"/>
      </patternFill>
    </fill>
    <fill>
      <patternFill patternType="solid">
        <fgColor rgb="FF66FF66"/>
        <bgColor rgb="FF66FF66"/>
      </patternFill>
    </fill>
    <fill>
      <patternFill patternType="solid">
        <fgColor rgb="FFFF0066"/>
        <bgColor rgb="FFFF0066"/>
      </patternFill>
    </fill>
    <fill>
      <patternFill patternType="solid">
        <fgColor rgb="FFCC00FF"/>
        <bgColor rgb="FFCC00FF"/>
      </patternFill>
    </fill>
    <fill>
      <patternFill patternType="solid">
        <fgColor rgb="FFA8D08D"/>
        <bgColor rgb="FFA8D08D"/>
      </patternFill>
    </fill>
    <fill>
      <patternFill patternType="solid">
        <fgColor theme="5"/>
        <bgColor theme="5"/>
      </patternFill>
    </fill>
    <fill>
      <patternFill patternType="solid">
        <fgColor theme="9"/>
        <bgColor theme="9"/>
      </patternFill>
    </fill>
    <fill>
      <patternFill patternType="solid">
        <fgColor theme="0"/>
        <bgColor theme="0"/>
      </patternFill>
    </fill>
    <fill>
      <patternFill patternType="solid">
        <fgColor rgb="FF7030A0"/>
        <bgColor rgb="FF7030A0"/>
      </patternFill>
    </fill>
    <fill>
      <patternFill patternType="solid">
        <fgColor rgb="FFFFC000"/>
        <bgColor rgb="FFFFC000"/>
      </patternFill>
    </fill>
    <fill>
      <patternFill patternType="solid">
        <fgColor rgb="FFB7B7B7"/>
        <bgColor rgb="FFB7B7B7"/>
      </patternFill>
    </fill>
    <fill>
      <patternFill patternType="solid">
        <fgColor rgb="FF00B050"/>
        <bgColor rgb="FF00B050"/>
      </patternFill>
    </fill>
    <fill>
      <patternFill patternType="solid">
        <fgColor rgb="FF92D050"/>
        <bgColor rgb="FF92D050"/>
      </patternFill>
    </fill>
    <fill>
      <patternFill patternType="solid">
        <fgColor rgb="FFFF66FF"/>
        <bgColor rgb="FFFF66FF"/>
      </patternFill>
    </fill>
    <fill>
      <patternFill patternType="solid">
        <fgColor rgb="FF66FFFF"/>
        <bgColor rgb="FF66FFFF"/>
      </patternFill>
    </fill>
  </fills>
  <borders count="74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/>
      <right/>
      <top/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/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/>
      <top/>
      <bottom/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/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/>
      <top/>
      <bottom style="medium">
        <color rgb="FF000000"/>
      </bottom>
    </border>
    <border>
      <right/>
      <top/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ck">
        <color rgb="FF000000"/>
      </left>
      <top style="thick">
        <color rgb="FF000000"/>
      </top>
      <bottom style="thick">
        <color rgb="FF000000"/>
      </bottom>
    </border>
    <border>
      <right style="thin">
        <color rgb="FF000000"/>
      </right>
      <top style="thick">
        <color rgb="FF000000"/>
      </top>
      <bottom style="thick">
        <color rgb="FF000000"/>
      </bottom>
    </border>
    <border>
      <top style="thick">
        <color rgb="FF000000"/>
      </top>
      <bottom style="thick">
        <color rgb="FF000000"/>
      </bottom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</border>
    <border>
      <left style="thin">
        <color rgb="FF000000"/>
      </left>
      <right style="thick">
        <color rgb="FF000000"/>
      </right>
      <top style="thick">
        <color rgb="FF000000"/>
      </top>
      <bottom style="thick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/>
      <top style="medium">
        <color rgb="FF000000"/>
      </top>
      <bottom/>
    </border>
    <border>
      <top style="medium">
        <color rgb="FF000000"/>
      </top>
      <bottom/>
    </border>
    <border>
      <right/>
      <top style="medium">
        <color rgb="FF000000"/>
      </top>
      <bottom/>
    </border>
    <border>
      <left/>
      <right/>
      <top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</borders>
  <cellStyleXfs count="1">
    <xf borderId="0" fillId="0" fontId="0" numFmtId="0" applyAlignment="1" applyFont="1"/>
  </cellStyleXfs>
  <cellXfs count="534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/>
    </xf>
    <xf borderId="1" fillId="2" fontId="2" numFmtId="0" xfId="0" applyAlignment="1" applyBorder="1" applyFill="1" applyFont="1">
      <alignment vertical="center"/>
    </xf>
    <xf borderId="1" fillId="3" fontId="2" numFmtId="0" xfId="0" applyAlignment="1" applyBorder="1" applyFill="1" applyFont="1">
      <alignment vertical="center"/>
    </xf>
    <xf borderId="1" fillId="4" fontId="2" numFmtId="0" xfId="0" applyAlignment="1" applyBorder="1" applyFill="1" applyFont="1">
      <alignment vertical="center"/>
    </xf>
    <xf borderId="1" fillId="5" fontId="3" numFmtId="0" xfId="0" applyAlignment="1" applyBorder="1" applyFill="1" applyFont="1">
      <alignment vertical="center"/>
    </xf>
    <xf borderId="1" fillId="6" fontId="2" numFmtId="0" xfId="0" applyAlignment="1" applyBorder="1" applyFill="1" applyFont="1">
      <alignment vertical="center"/>
    </xf>
    <xf borderId="1" fillId="7" fontId="2" numFmtId="0" xfId="0" applyAlignment="1" applyBorder="1" applyFill="1" applyFont="1">
      <alignment vertical="center"/>
    </xf>
    <xf borderId="1" fillId="8" fontId="2" numFmtId="0" xfId="0" applyAlignment="1" applyBorder="1" applyFill="1" applyFont="1">
      <alignment vertical="center"/>
    </xf>
    <xf borderId="1" fillId="9" fontId="2" numFmtId="0" xfId="0" applyAlignment="1" applyBorder="1" applyFill="1" applyFont="1">
      <alignment vertical="center"/>
    </xf>
    <xf borderId="1" fillId="10" fontId="2" numFmtId="0" xfId="0" applyAlignment="1" applyBorder="1" applyFill="1" applyFont="1">
      <alignment vertical="center"/>
    </xf>
    <xf borderId="1" fillId="11" fontId="2" numFmtId="0" xfId="0" applyAlignment="1" applyBorder="1" applyFill="1" applyFont="1">
      <alignment vertical="center"/>
    </xf>
    <xf borderId="1" fillId="12" fontId="2" numFmtId="0" xfId="0" applyAlignment="1" applyBorder="1" applyFill="1" applyFont="1">
      <alignment vertical="center"/>
    </xf>
    <xf borderId="1" fillId="13" fontId="2" numFmtId="0" xfId="0" applyAlignment="1" applyBorder="1" applyFill="1" applyFont="1">
      <alignment vertical="center"/>
    </xf>
    <xf borderId="1" fillId="14" fontId="3" numFmtId="0" xfId="0" applyAlignment="1" applyBorder="1" applyFill="1" applyFont="1">
      <alignment vertical="center"/>
    </xf>
    <xf borderId="2" fillId="0" fontId="2" numFmtId="0" xfId="0" applyAlignment="1" applyBorder="1" applyFont="1">
      <alignment horizontal="center"/>
    </xf>
    <xf borderId="3" fillId="0" fontId="2" numFmtId="0" xfId="0" applyAlignment="1" applyBorder="1" applyFont="1">
      <alignment horizontal="center"/>
    </xf>
    <xf borderId="4" fillId="0" fontId="2" numFmtId="0" xfId="0" applyAlignment="1" applyBorder="1" applyFont="1">
      <alignment horizontal="center"/>
    </xf>
    <xf borderId="4" fillId="0" fontId="2" numFmtId="0" xfId="0" applyAlignment="1" applyBorder="1" applyFont="1">
      <alignment horizontal="center" readingOrder="0"/>
    </xf>
    <xf borderId="5" fillId="2" fontId="4" numFmtId="0" xfId="0" applyAlignment="1" applyBorder="1" applyFont="1">
      <alignment horizontal="center"/>
    </xf>
    <xf borderId="5" fillId="3" fontId="4" numFmtId="0" xfId="0" applyAlignment="1" applyBorder="1" applyFont="1">
      <alignment horizontal="center"/>
    </xf>
    <xf borderId="5" fillId="4" fontId="4" numFmtId="0" xfId="0" applyAlignment="1" applyBorder="1" applyFont="1">
      <alignment horizontal="center"/>
    </xf>
    <xf borderId="5" fillId="5" fontId="5" numFmtId="0" xfId="0" applyAlignment="1" applyBorder="1" applyFont="1">
      <alignment horizontal="center"/>
    </xf>
    <xf borderId="5" fillId="6" fontId="4" numFmtId="0" xfId="0" applyAlignment="1" applyBorder="1" applyFont="1">
      <alignment horizontal="center"/>
    </xf>
    <xf borderId="5" fillId="7" fontId="4" numFmtId="0" xfId="0" applyAlignment="1" applyBorder="1" applyFont="1">
      <alignment horizontal="center"/>
    </xf>
    <xf borderId="5" fillId="8" fontId="4" numFmtId="0" xfId="0" applyAlignment="1" applyBorder="1" applyFont="1">
      <alignment horizontal="center"/>
    </xf>
    <xf borderId="5" fillId="9" fontId="4" numFmtId="0" xfId="0" applyAlignment="1" applyBorder="1" applyFont="1">
      <alignment horizontal="center"/>
    </xf>
    <xf borderId="5" fillId="10" fontId="4" numFmtId="0" xfId="0" applyAlignment="1" applyBorder="1" applyFont="1">
      <alignment horizontal="center"/>
    </xf>
    <xf borderId="5" fillId="11" fontId="4" numFmtId="0" xfId="0" applyAlignment="1" applyBorder="1" applyFont="1">
      <alignment horizontal="center"/>
    </xf>
    <xf borderId="5" fillId="12" fontId="4" numFmtId="0" xfId="0" applyAlignment="1" applyBorder="1" applyFont="1">
      <alignment horizontal="center"/>
    </xf>
    <xf borderId="5" fillId="13" fontId="4" numFmtId="0" xfId="0" applyAlignment="1" applyBorder="1" applyFont="1">
      <alignment horizontal="center"/>
    </xf>
    <xf borderId="5" fillId="14" fontId="5" numFmtId="0" xfId="0" applyAlignment="1" applyBorder="1" applyFont="1">
      <alignment horizontal="center"/>
    </xf>
    <xf borderId="1" fillId="13" fontId="4" numFmtId="0" xfId="0" applyAlignment="1" applyBorder="1" applyFont="1">
      <alignment horizontal="center"/>
    </xf>
    <xf borderId="1" fillId="13" fontId="4" numFmtId="164" xfId="0" applyAlignment="1" applyBorder="1" applyFont="1" applyNumberFormat="1">
      <alignment horizontal="center"/>
    </xf>
    <xf borderId="6" fillId="13" fontId="2" numFmtId="0" xfId="0" applyAlignment="1" applyBorder="1" applyFont="1">
      <alignment horizontal="center"/>
    </xf>
    <xf borderId="6" fillId="13" fontId="4" numFmtId="165" xfId="0" applyBorder="1" applyFont="1" applyNumberFormat="1"/>
    <xf borderId="6" fillId="13" fontId="4" numFmtId="0" xfId="0" applyBorder="1" applyFont="1"/>
    <xf borderId="6" fillId="13" fontId="5" numFmtId="0" xfId="0" applyBorder="1" applyFont="1"/>
    <xf borderId="6" fillId="13" fontId="4" numFmtId="164" xfId="0" applyBorder="1" applyFont="1" applyNumberFormat="1"/>
    <xf borderId="7" fillId="13" fontId="2" numFmtId="0" xfId="0" applyAlignment="1" applyBorder="1" applyFont="1">
      <alignment horizontal="center" vertical="center"/>
    </xf>
    <xf borderId="8" fillId="13" fontId="2" numFmtId="0" xfId="0" applyAlignment="1" applyBorder="1" applyFont="1">
      <alignment horizontal="center"/>
    </xf>
    <xf borderId="5" fillId="13" fontId="2" numFmtId="0" xfId="0" applyAlignment="1" applyBorder="1" applyFont="1">
      <alignment horizontal="center" vertical="center"/>
    </xf>
    <xf borderId="1" fillId="13" fontId="2" numFmtId="166" xfId="0" applyAlignment="1" applyBorder="1" applyFont="1" applyNumberFormat="1">
      <alignment vertical="center"/>
    </xf>
    <xf borderId="5" fillId="2" fontId="6" numFmtId="0" xfId="0" applyAlignment="1" applyBorder="1" applyFont="1">
      <alignment vertical="center"/>
    </xf>
    <xf borderId="5" fillId="3" fontId="6" numFmtId="0" xfId="0" applyAlignment="1" applyBorder="1" applyFont="1">
      <alignment vertical="center"/>
    </xf>
    <xf borderId="5" fillId="4" fontId="6" numFmtId="0" xfId="0" applyAlignment="1" applyBorder="1" applyFont="1">
      <alignment vertical="center"/>
    </xf>
    <xf borderId="5" fillId="5" fontId="7" numFmtId="0" xfId="0" applyAlignment="1" applyBorder="1" applyFont="1">
      <alignment vertical="center"/>
    </xf>
    <xf borderId="5" fillId="15" fontId="6" numFmtId="0" xfId="0" applyAlignment="1" applyBorder="1" applyFill="1" applyFont="1">
      <alignment vertical="center"/>
    </xf>
    <xf borderId="5" fillId="7" fontId="6" numFmtId="0" xfId="0" applyAlignment="1" applyBorder="1" applyFont="1">
      <alignment vertical="center"/>
    </xf>
    <xf borderId="5" fillId="8" fontId="6" numFmtId="0" xfId="0" applyAlignment="1" applyBorder="1" applyFont="1">
      <alignment vertical="center"/>
    </xf>
    <xf borderId="5" fillId="9" fontId="6" numFmtId="0" xfId="0" applyAlignment="1" applyBorder="1" applyFont="1">
      <alignment vertical="center"/>
    </xf>
    <xf borderId="5" fillId="10" fontId="6" numFmtId="0" xfId="0" applyAlignment="1" applyBorder="1" applyFont="1">
      <alignment vertical="center"/>
    </xf>
    <xf borderId="5" fillId="11" fontId="6" numFmtId="0" xfId="0" applyAlignment="1" applyBorder="1" applyFont="1">
      <alignment vertical="center"/>
    </xf>
    <xf borderId="5" fillId="12" fontId="6" numFmtId="0" xfId="0" applyAlignment="1" applyBorder="1" applyFont="1">
      <alignment vertical="center"/>
    </xf>
    <xf borderId="5" fillId="13" fontId="6" numFmtId="0" xfId="0" applyAlignment="1" applyBorder="1" applyFont="1">
      <alignment vertical="center"/>
    </xf>
    <xf borderId="5" fillId="14" fontId="7" numFmtId="0" xfId="0" applyAlignment="1" applyBorder="1" applyFont="1">
      <alignment vertical="center"/>
    </xf>
    <xf borderId="5" fillId="13" fontId="4" numFmtId="0" xfId="0" applyAlignment="1" applyBorder="1" applyFont="1">
      <alignment vertical="center"/>
    </xf>
    <xf borderId="9" fillId="13" fontId="4" numFmtId="166" xfId="0" applyAlignment="1" applyBorder="1" applyFont="1" applyNumberFormat="1">
      <alignment vertical="center"/>
    </xf>
    <xf borderId="10" fillId="13" fontId="2" numFmtId="0" xfId="0" applyAlignment="1" applyBorder="1" applyFont="1">
      <alignment horizontal="center" vertical="center"/>
    </xf>
    <xf borderId="11" fillId="13" fontId="2" numFmtId="0" xfId="0" applyAlignment="1" applyBorder="1" applyFont="1">
      <alignment horizontal="center"/>
    </xf>
    <xf borderId="1" fillId="13" fontId="2" numFmtId="0" xfId="0" applyAlignment="1" applyBorder="1" applyFont="1">
      <alignment horizontal="center" vertical="center"/>
    </xf>
    <xf borderId="1" fillId="2" fontId="6" numFmtId="0" xfId="0" applyAlignment="1" applyBorder="1" applyFont="1">
      <alignment vertical="center"/>
    </xf>
    <xf borderId="1" fillId="3" fontId="6" numFmtId="0" xfId="0" applyAlignment="1" applyBorder="1" applyFont="1">
      <alignment vertical="center"/>
    </xf>
    <xf borderId="1" fillId="4" fontId="6" numFmtId="0" xfId="0" applyAlignment="1" applyBorder="1" applyFont="1">
      <alignment vertical="center"/>
    </xf>
    <xf borderId="1" fillId="5" fontId="7" numFmtId="0" xfId="0" applyAlignment="1" applyBorder="1" applyFont="1">
      <alignment vertical="center"/>
    </xf>
    <xf borderId="1" fillId="15" fontId="6" numFmtId="0" xfId="0" applyAlignment="1" applyBorder="1" applyFont="1">
      <alignment vertical="center"/>
    </xf>
    <xf borderId="1" fillId="7" fontId="6" numFmtId="0" xfId="0" applyAlignment="1" applyBorder="1" applyFont="1">
      <alignment vertical="center"/>
    </xf>
    <xf borderId="1" fillId="8" fontId="6" numFmtId="0" xfId="0" applyAlignment="1" applyBorder="1" applyFont="1">
      <alignment vertical="center"/>
    </xf>
    <xf borderId="1" fillId="9" fontId="6" numFmtId="0" xfId="0" applyAlignment="1" applyBorder="1" applyFont="1">
      <alignment vertical="center"/>
    </xf>
    <xf borderId="1" fillId="10" fontId="6" numFmtId="0" xfId="0" applyAlignment="1" applyBorder="1" applyFont="1">
      <alignment vertical="center"/>
    </xf>
    <xf borderId="1" fillId="11" fontId="6" numFmtId="0" xfId="0" applyAlignment="1" applyBorder="1" applyFont="1">
      <alignment vertical="center"/>
    </xf>
    <xf borderId="1" fillId="12" fontId="6" numFmtId="0" xfId="0" applyAlignment="1" applyBorder="1" applyFont="1">
      <alignment vertical="center"/>
    </xf>
    <xf borderId="1" fillId="13" fontId="6" numFmtId="0" xfId="0" applyAlignment="1" applyBorder="1" applyFont="1">
      <alignment vertical="center"/>
    </xf>
    <xf borderId="1" fillId="14" fontId="7" numFmtId="0" xfId="0" applyAlignment="1" applyBorder="1" applyFont="1">
      <alignment vertical="center"/>
    </xf>
    <xf borderId="1" fillId="13" fontId="4" numFmtId="0" xfId="0" applyAlignment="1" applyBorder="1" applyFont="1">
      <alignment vertical="center"/>
    </xf>
    <xf borderId="12" fillId="13" fontId="4" numFmtId="166" xfId="0" applyAlignment="1" applyBorder="1" applyFont="1" applyNumberFormat="1">
      <alignment vertical="center"/>
    </xf>
    <xf borderId="11" fillId="16" fontId="2" numFmtId="0" xfId="0" applyAlignment="1" applyBorder="1" applyFill="1" applyFont="1">
      <alignment horizontal="center" vertical="center"/>
    </xf>
    <xf borderId="11" fillId="16" fontId="2" numFmtId="166" xfId="0" applyAlignment="1" applyBorder="1" applyFont="1" applyNumberFormat="1">
      <alignment horizontal="center" vertical="center"/>
    </xf>
    <xf borderId="1" fillId="16" fontId="4" numFmtId="0" xfId="0" applyAlignment="1" applyBorder="1" applyFont="1">
      <alignment vertical="center"/>
    </xf>
    <xf borderId="12" fillId="16" fontId="4" numFmtId="166" xfId="0" applyAlignment="1" applyBorder="1" applyFont="1" applyNumberFormat="1">
      <alignment vertical="center"/>
    </xf>
    <xf borderId="1" fillId="6" fontId="6" numFmtId="0" xfId="0" applyAlignment="1" applyBorder="1" applyFont="1">
      <alignment vertical="center"/>
    </xf>
    <xf borderId="10" fillId="16" fontId="2" numFmtId="0" xfId="0" applyAlignment="1" applyBorder="1" applyFont="1">
      <alignment horizontal="center" vertical="center"/>
    </xf>
    <xf borderId="1" fillId="16" fontId="2" numFmtId="0" xfId="0" applyAlignment="1" applyBorder="1" applyFont="1">
      <alignment horizontal="center" vertical="center"/>
    </xf>
    <xf borderId="13" fillId="13" fontId="2" numFmtId="0" xfId="0" applyAlignment="1" applyBorder="1" applyFont="1">
      <alignment horizontal="center" vertical="center"/>
    </xf>
    <xf borderId="14" fillId="13" fontId="2" numFmtId="0" xfId="0" applyAlignment="1" applyBorder="1" applyFont="1">
      <alignment horizontal="center"/>
    </xf>
    <xf borderId="15" fillId="13" fontId="2" numFmtId="0" xfId="0" applyAlignment="1" applyBorder="1" applyFont="1">
      <alignment horizontal="center" vertical="center"/>
    </xf>
    <xf borderId="16" fillId="2" fontId="6" numFmtId="0" xfId="0" applyAlignment="1" applyBorder="1" applyFont="1">
      <alignment vertical="center"/>
    </xf>
    <xf borderId="16" fillId="3" fontId="6" numFmtId="0" xfId="0" applyAlignment="1" applyBorder="1" applyFont="1">
      <alignment vertical="center"/>
    </xf>
    <xf borderId="16" fillId="4" fontId="6" numFmtId="0" xfId="0" applyAlignment="1" applyBorder="1" applyFont="1">
      <alignment vertical="center"/>
    </xf>
    <xf borderId="16" fillId="5" fontId="7" numFmtId="0" xfId="0" applyAlignment="1" applyBorder="1" applyFont="1">
      <alignment vertical="center"/>
    </xf>
    <xf borderId="16" fillId="6" fontId="6" numFmtId="0" xfId="0" applyAlignment="1" applyBorder="1" applyFont="1">
      <alignment vertical="center"/>
    </xf>
    <xf borderId="16" fillId="7" fontId="6" numFmtId="0" xfId="0" applyAlignment="1" applyBorder="1" applyFont="1">
      <alignment vertical="center"/>
    </xf>
    <xf borderId="16" fillId="8" fontId="6" numFmtId="0" xfId="0" applyAlignment="1" applyBorder="1" applyFont="1">
      <alignment vertical="center"/>
    </xf>
    <xf borderId="16" fillId="9" fontId="6" numFmtId="0" xfId="0" applyAlignment="1" applyBorder="1" applyFont="1">
      <alignment vertical="center"/>
    </xf>
    <xf borderId="16" fillId="10" fontId="6" numFmtId="0" xfId="0" applyAlignment="1" applyBorder="1" applyFont="1">
      <alignment vertical="center"/>
    </xf>
    <xf borderId="16" fillId="11" fontId="6" numFmtId="0" xfId="0" applyAlignment="1" applyBorder="1" applyFont="1">
      <alignment vertical="center"/>
    </xf>
    <xf borderId="16" fillId="12" fontId="6" numFmtId="0" xfId="0" applyAlignment="1" applyBorder="1" applyFont="1">
      <alignment vertical="center"/>
    </xf>
    <xf borderId="16" fillId="13" fontId="6" numFmtId="0" xfId="0" applyAlignment="1" applyBorder="1" applyFont="1">
      <alignment vertical="center"/>
    </xf>
    <xf borderId="16" fillId="14" fontId="7" numFmtId="0" xfId="0" applyAlignment="1" applyBorder="1" applyFont="1">
      <alignment vertical="center"/>
    </xf>
    <xf borderId="16" fillId="13" fontId="4" numFmtId="0" xfId="0" applyAlignment="1" applyBorder="1" applyFont="1">
      <alignment vertical="center"/>
    </xf>
    <xf borderId="17" fillId="13" fontId="4" numFmtId="166" xfId="0" applyAlignment="1" applyBorder="1" applyFont="1" applyNumberFormat="1">
      <alignment vertical="center"/>
    </xf>
    <xf borderId="18" fillId="13" fontId="2" numFmtId="0" xfId="0" applyAlignment="1" applyBorder="1" applyFont="1">
      <alignment horizontal="center"/>
    </xf>
    <xf borderId="18" fillId="13" fontId="4" numFmtId="165" xfId="0" applyBorder="1" applyFont="1" applyNumberFormat="1"/>
    <xf borderId="1" fillId="13" fontId="4" numFmtId="0" xfId="0" applyBorder="1" applyFont="1"/>
    <xf borderId="1" fillId="13" fontId="4" numFmtId="166" xfId="0" applyBorder="1" applyFont="1" applyNumberFormat="1"/>
    <xf borderId="0" fillId="0" fontId="4" numFmtId="167" xfId="0" applyFont="1" applyNumberFormat="1"/>
    <xf borderId="19" fillId="13" fontId="8" numFmtId="0" xfId="0" applyAlignment="1" applyBorder="1" applyFont="1">
      <alignment horizontal="center"/>
    </xf>
    <xf borderId="20" fillId="0" fontId="9" numFmtId="0" xfId="0" applyBorder="1" applyFont="1"/>
    <xf borderId="21" fillId="0" fontId="9" numFmtId="0" xfId="0" applyBorder="1" applyFont="1"/>
    <xf borderId="18" fillId="13" fontId="4" numFmtId="167" xfId="0" applyBorder="1" applyFont="1" applyNumberFormat="1"/>
    <xf borderId="18" fillId="13" fontId="4" numFmtId="0" xfId="0" applyBorder="1" applyFont="1"/>
    <xf borderId="18" fillId="13" fontId="4" numFmtId="164" xfId="0" applyBorder="1" applyFont="1" applyNumberFormat="1"/>
    <xf borderId="1" fillId="2" fontId="4" numFmtId="0" xfId="0" applyAlignment="1" applyBorder="1" applyFont="1">
      <alignment horizontal="center"/>
    </xf>
    <xf borderId="1" fillId="3" fontId="4" numFmtId="0" xfId="0" applyAlignment="1" applyBorder="1" applyFont="1">
      <alignment horizontal="center"/>
    </xf>
    <xf borderId="1" fillId="4" fontId="4" numFmtId="0" xfId="0" applyAlignment="1" applyBorder="1" applyFont="1">
      <alignment horizontal="center"/>
    </xf>
    <xf borderId="1" fillId="5" fontId="5" numFmtId="0" xfId="0" applyAlignment="1" applyBorder="1" applyFont="1">
      <alignment horizontal="center"/>
    </xf>
    <xf borderId="1" fillId="6" fontId="4" numFmtId="0" xfId="0" applyAlignment="1" applyBorder="1" applyFont="1">
      <alignment horizontal="center"/>
    </xf>
    <xf borderId="1" fillId="7" fontId="4" numFmtId="0" xfId="0" applyAlignment="1" applyBorder="1" applyFont="1">
      <alignment horizontal="center"/>
    </xf>
    <xf borderId="1" fillId="8" fontId="4" numFmtId="0" xfId="0" applyAlignment="1" applyBorder="1" applyFont="1">
      <alignment horizontal="center"/>
    </xf>
    <xf borderId="1" fillId="9" fontId="4" numFmtId="0" xfId="0" applyAlignment="1" applyBorder="1" applyFont="1">
      <alignment horizontal="center"/>
    </xf>
    <xf borderId="1" fillId="10" fontId="4" numFmtId="0" xfId="0" applyAlignment="1" applyBorder="1" applyFont="1">
      <alignment horizontal="center"/>
    </xf>
    <xf borderId="1" fillId="11" fontId="4" numFmtId="0" xfId="0" applyAlignment="1" applyBorder="1" applyFont="1">
      <alignment horizontal="center"/>
    </xf>
    <xf borderId="1" fillId="12" fontId="4" numFmtId="0" xfId="0" applyAlignment="1" applyBorder="1" applyFont="1">
      <alignment horizontal="center"/>
    </xf>
    <xf borderId="1" fillId="14" fontId="5" numFmtId="0" xfId="0" applyAlignment="1" applyBorder="1" applyFont="1">
      <alignment horizontal="center"/>
    </xf>
    <xf borderId="18" fillId="13" fontId="5" numFmtId="0" xfId="0" applyBorder="1" applyFont="1"/>
    <xf borderId="22" fillId="13" fontId="2" numFmtId="0" xfId="0" applyAlignment="1" applyBorder="1" applyFont="1">
      <alignment horizontal="center" vertical="center"/>
    </xf>
    <xf borderId="23" fillId="13" fontId="2" numFmtId="0" xfId="0" applyAlignment="1" applyBorder="1" applyFont="1">
      <alignment horizontal="center"/>
    </xf>
    <xf borderId="24" fillId="13" fontId="2" numFmtId="0" xfId="0" applyAlignment="1" applyBorder="1" applyFont="1">
      <alignment horizontal="center" vertical="center"/>
    </xf>
    <xf borderId="24" fillId="2" fontId="6" numFmtId="0" xfId="0" applyAlignment="1" applyBorder="1" applyFont="1">
      <alignment vertical="center"/>
    </xf>
    <xf borderId="24" fillId="3" fontId="6" numFmtId="0" xfId="0" applyAlignment="1" applyBorder="1" applyFont="1">
      <alignment vertical="center"/>
    </xf>
    <xf borderId="24" fillId="4" fontId="6" numFmtId="0" xfId="0" applyAlignment="1" applyBorder="1" applyFont="1">
      <alignment vertical="center"/>
    </xf>
    <xf borderId="24" fillId="5" fontId="7" numFmtId="0" xfId="0" applyAlignment="1" applyBorder="1" applyFont="1">
      <alignment vertical="center"/>
    </xf>
    <xf borderId="24" fillId="6" fontId="6" numFmtId="0" xfId="0" applyAlignment="1" applyBorder="1" applyFont="1">
      <alignment vertical="center"/>
    </xf>
    <xf borderId="24" fillId="7" fontId="6" numFmtId="0" xfId="0" applyAlignment="1" applyBorder="1" applyFont="1">
      <alignment vertical="center"/>
    </xf>
    <xf borderId="24" fillId="8" fontId="6" numFmtId="0" xfId="0" applyAlignment="1" applyBorder="1" applyFont="1">
      <alignment vertical="center"/>
    </xf>
    <xf borderId="24" fillId="9" fontId="6" numFmtId="0" xfId="0" applyAlignment="1" applyBorder="1" applyFont="1">
      <alignment vertical="center"/>
    </xf>
    <xf borderId="24" fillId="10" fontId="6" numFmtId="0" xfId="0" applyAlignment="1" applyBorder="1" applyFont="1">
      <alignment vertical="center"/>
    </xf>
    <xf borderId="24" fillId="11" fontId="6" numFmtId="0" xfId="0" applyAlignment="1" applyBorder="1" applyFont="1">
      <alignment vertical="center"/>
    </xf>
    <xf borderId="24" fillId="12" fontId="6" numFmtId="0" xfId="0" applyAlignment="1" applyBorder="1" applyFont="1">
      <alignment vertical="center"/>
    </xf>
    <xf borderId="24" fillId="13" fontId="6" numFmtId="0" xfId="0" applyAlignment="1" applyBorder="1" applyFont="1">
      <alignment vertical="center"/>
    </xf>
    <xf borderId="24" fillId="14" fontId="7" numFmtId="0" xfId="0" applyAlignment="1" applyBorder="1" applyFont="1">
      <alignment vertical="center"/>
    </xf>
    <xf borderId="24" fillId="13" fontId="4" numFmtId="0" xfId="0" applyAlignment="1" applyBorder="1" applyFont="1">
      <alignment vertical="center"/>
    </xf>
    <xf borderId="25" fillId="13" fontId="4" numFmtId="166" xfId="0" applyAlignment="1" applyBorder="1" applyFont="1" applyNumberFormat="1">
      <alignment vertical="center"/>
    </xf>
    <xf borderId="5" fillId="6" fontId="6" numFmtId="0" xfId="0" applyAlignment="1" applyBorder="1" applyFont="1">
      <alignment vertical="center"/>
    </xf>
    <xf borderId="26" fillId="13" fontId="2" numFmtId="0" xfId="0" applyAlignment="1" applyBorder="1" applyFont="1">
      <alignment horizontal="center" vertical="center"/>
    </xf>
    <xf borderId="27" fillId="13" fontId="2" numFmtId="0" xfId="0" applyAlignment="1" applyBorder="1" applyFont="1">
      <alignment horizontal="center"/>
    </xf>
    <xf borderId="16" fillId="13" fontId="2" numFmtId="0" xfId="0" applyAlignment="1" applyBorder="1" applyFont="1">
      <alignment horizontal="center" vertical="center"/>
    </xf>
    <xf borderId="1" fillId="13" fontId="2" numFmtId="0" xfId="0" applyAlignment="1" applyBorder="1" applyFont="1">
      <alignment horizontal="center"/>
    </xf>
    <xf borderId="0" fillId="0" fontId="10" numFmtId="0" xfId="0" applyAlignment="1" applyFont="1">
      <alignment horizontal="center"/>
    </xf>
    <xf borderId="18" fillId="13" fontId="11" numFmtId="0" xfId="0" applyAlignment="1" applyBorder="1" applyFont="1">
      <alignment horizontal="center"/>
    </xf>
    <xf borderId="18" fillId="13" fontId="12" numFmtId="0" xfId="0" applyAlignment="1" applyBorder="1" applyFont="1">
      <alignment horizontal="center"/>
    </xf>
    <xf borderId="15" fillId="2" fontId="2" numFmtId="0" xfId="0" applyAlignment="1" applyBorder="1" applyFont="1">
      <alignment vertical="center"/>
    </xf>
    <xf borderId="15" fillId="3" fontId="2" numFmtId="0" xfId="0" applyAlignment="1" applyBorder="1" applyFont="1">
      <alignment vertical="center"/>
    </xf>
    <xf borderId="15" fillId="4" fontId="2" numFmtId="0" xfId="0" applyAlignment="1" applyBorder="1" applyFont="1">
      <alignment vertical="center"/>
    </xf>
    <xf borderId="15" fillId="5" fontId="3" numFmtId="0" xfId="0" applyAlignment="1" applyBorder="1" applyFont="1">
      <alignment vertical="center"/>
    </xf>
    <xf borderId="15" fillId="6" fontId="2" numFmtId="0" xfId="0" applyAlignment="1" applyBorder="1" applyFont="1">
      <alignment vertical="center"/>
    </xf>
    <xf borderId="15" fillId="7" fontId="2" numFmtId="0" xfId="0" applyAlignment="1" applyBorder="1" applyFont="1">
      <alignment vertical="center"/>
    </xf>
    <xf borderId="15" fillId="8" fontId="2" numFmtId="0" xfId="0" applyAlignment="1" applyBorder="1" applyFont="1">
      <alignment vertical="center"/>
    </xf>
    <xf borderId="15" fillId="9" fontId="2" numFmtId="0" xfId="0" applyAlignment="1" applyBorder="1" applyFont="1">
      <alignment vertical="center"/>
    </xf>
    <xf borderId="15" fillId="10" fontId="2" numFmtId="0" xfId="0" applyAlignment="1" applyBorder="1" applyFont="1">
      <alignment vertical="center"/>
    </xf>
    <xf borderId="15" fillId="11" fontId="2" numFmtId="0" xfId="0" applyAlignment="1" applyBorder="1" applyFont="1">
      <alignment vertical="center"/>
    </xf>
    <xf borderId="15" fillId="12" fontId="2" numFmtId="0" xfId="0" applyAlignment="1" applyBorder="1" applyFont="1">
      <alignment vertical="center"/>
    </xf>
    <xf borderId="15" fillId="13" fontId="2" numFmtId="0" xfId="0" applyAlignment="1" applyBorder="1" applyFont="1">
      <alignment vertical="center"/>
    </xf>
    <xf borderId="15" fillId="14" fontId="3" numFmtId="0" xfId="0" applyAlignment="1" applyBorder="1" applyFont="1">
      <alignment vertical="center"/>
    </xf>
    <xf borderId="1" fillId="13" fontId="4" numFmtId="166" xfId="0" applyAlignment="1" applyBorder="1" applyFont="1" applyNumberFormat="1">
      <alignment horizontal="center"/>
    </xf>
    <xf borderId="28" fillId="13" fontId="2" numFmtId="0" xfId="0" applyAlignment="1" applyBorder="1" applyFont="1">
      <alignment horizontal="center"/>
    </xf>
    <xf borderId="29" fillId="0" fontId="9" numFmtId="0" xfId="0" applyBorder="1" applyFont="1"/>
    <xf borderId="18" fillId="13" fontId="4" numFmtId="166" xfId="0" applyBorder="1" applyFont="1" applyNumberFormat="1"/>
    <xf borderId="23" fillId="13" fontId="2" numFmtId="0" xfId="0" applyAlignment="1" applyBorder="1" applyFont="1">
      <alignment horizontal="center" vertical="center"/>
    </xf>
    <xf borderId="24" fillId="2" fontId="4" numFmtId="0" xfId="0" applyAlignment="1" applyBorder="1" applyFont="1">
      <alignment vertical="center"/>
    </xf>
    <xf borderId="24" fillId="3" fontId="4" numFmtId="0" xfId="0" applyAlignment="1" applyBorder="1" applyFont="1">
      <alignment vertical="center"/>
    </xf>
    <xf borderId="24" fillId="4" fontId="4" numFmtId="0" xfId="0" applyAlignment="1" applyBorder="1" applyFont="1">
      <alignment vertical="center"/>
    </xf>
    <xf borderId="24" fillId="5" fontId="5" numFmtId="0" xfId="0" applyAlignment="1" applyBorder="1" applyFont="1">
      <alignment vertical="center"/>
    </xf>
    <xf borderId="24" fillId="6" fontId="4" numFmtId="0" xfId="0" applyAlignment="1" applyBorder="1" applyFont="1">
      <alignment vertical="center"/>
    </xf>
    <xf borderId="24" fillId="7" fontId="4" numFmtId="0" xfId="0" applyAlignment="1" applyBorder="1" applyFont="1">
      <alignment vertical="center"/>
    </xf>
    <xf borderId="24" fillId="8" fontId="4" numFmtId="0" xfId="0" applyAlignment="1" applyBorder="1" applyFont="1">
      <alignment vertical="center"/>
    </xf>
    <xf borderId="24" fillId="9" fontId="4" numFmtId="0" xfId="0" applyAlignment="1" applyBorder="1" applyFont="1">
      <alignment vertical="center"/>
    </xf>
    <xf borderId="24" fillId="10" fontId="4" numFmtId="0" xfId="0" applyAlignment="1" applyBorder="1" applyFont="1">
      <alignment vertical="center"/>
    </xf>
    <xf borderId="24" fillId="11" fontId="4" numFmtId="0" xfId="0" applyAlignment="1" applyBorder="1" applyFont="1">
      <alignment vertical="center"/>
    </xf>
    <xf borderId="24" fillId="12" fontId="4" numFmtId="0" xfId="0" applyAlignment="1" applyBorder="1" applyFont="1">
      <alignment vertical="center"/>
    </xf>
    <xf borderId="24" fillId="14" fontId="5" numFmtId="0" xfId="0" applyAlignment="1" applyBorder="1" applyFont="1">
      <alignment vertical="center"/>
    </xf>
    <xf borderId="11" fillId="13" fontId="2" numFmtId="0" xfId="0" applyAlignment="1" applyBorder="1" applyFont="1">
      <alignment horizontal="center" vertical="center"/>
    </xf>
    <xf borderId="1" fillId="2" fontId="4" numFmtId="0" xfId="0" applyAlignment="1" applyBorder="1" applyFont="1">
      <alignment vertical="center"/>
    </xf>
    <xf borderId="1" fillId="3" fontId="4" numFmtId="0" xfId="0" applyAlignment="1" applyBorder="1" applyFont="1">
      <alignment vertical="center"/>
    </xf>
    <xf borderId="1" fillId="4" fontId="4" numFmtId="0" xfId="0" applyAlignment="1" applyBorder="1" applyFont="1">
      <alignment vertical="center"/>
    </xf>
    <xf borderId="1" fillId="5" fontId="5" numFmtId="0" xfId="0" applyAlignment="1" applyBorder="1" applyFont="1">
      <alignment vertical="center"/>
    </xf>
    <xf borderId="1" fillId="6" fontId="4" numFmtId="0" xfId="0" applyAlignment="1" applyBorder="1" applyFont="1">
      <alignment vertical="center"/>
    </xf>
    <xf borderId="1" fillId="7" fontId="4" numFmtId="0" xfId="0" applyAlignment="1" applyBorder="1" applyFont="1">
      <alignment vertical="center"/>
    </xf>
    <xf borderId="1" fillId="8" fontId="4" numFmtId="0" xfId="0" applyAlignment="1" applyBorder="1" applyFont="1">
      <alignment vertical="center"/>
    </xf>
    <xf borderId="1" fillId="9" fontId="4" numFmtId="0" xfId="0" applyAlignment="1" applyBorder="1" applyFont="1">
      <alignment vertical="center"/>
    </xf>
    <xf borderId="1" fillId="10" fontId="4" numFmtId="0" xfId="0" applyAlignment="1" applyBorder="1" applyFont="1">
      <alignment vertical="center"/>
    </xf>
    <xf borderId="1" fillId="11" fontId="4" numFmtId="0" xfId="0" applyAlignment="1" applyBorder="1" applyFont="1">
      <alignment vertical="center"/>
    </xf>
    <xf borderId="1" fillId="12" fontId="4" numFmtId="0" xfId="0" applyAlignment="1" applyBorder="1" applyFont="1">
      <alignment vertical="center"/>
    </xf>
    <xf borderId="1" fillId="14" fontId="5" numFmtId="0" xfId="0" applyAlignment="1" applyBorder="1" applyFont="1">
      <alignment vertical="center"/>
    </xf>
    <xf borderId="14" fillId="13" fontId="2" numFmtId="0" xfId="0" applyAlignment="1" applyBorder="1" applyFont="1">
      <alignment horizontal="center" vertical="center"/>
    </xf>
    <xf borderId="15" fillId="2" fontId="4" numFmtId="0" xfId="0" applyAlignment="1" applyBorder="1" applyFont="1">
      <alignment vertical="center"/>
    </xf>
    <xf borderId="15" fillId="3" fontId="4" numFmtId="0" xfId="0" applyAlignment="1" applyBorder="1" applyFont="1">
      <alignment vertical="center"/>
    </xf>
    <xf borderId="15" fillId="4" fontId="4" numFmtId="0" xfId="0" applyAlignment="1" applyBorder="1" applyFont="1">
      <alignment vertical="center"/>
    </xf>
    <xf borderId="15" fillId="5" fontId="5" numFmtId="0" xfId="0" applyAlignment="1" applyBorder="1" applyFont="1">
      <alignment vertical="center"/>
    </xf>
    <xf borderId="15" fillId="6" fontId="4" numFmtId="0" xfId="0" applyAlignment="1" applyBorder="1" applyFont="1">
      <alignment vertical="center"/>
    </xf>
    <xf borderId="15" fillId="7" fontId="4" numFmtId="0" xfId="0" applyAlignment="1" applyBorder="1" applyFont="1">
      <alignment vertical="center"/>
    </xf>
    <xf borderId="15" fillId="8" fontId="4" numFmtId="0" xfId="0" applyAlignment="1" applyBorder="1" applyFont="1">
      <alignment vertical="center"/>
    </xf>
    <xf borderId="15" fillId="9" fontId="4" numFmtId="0" xfId="0" applyAlignment="1" applyBorder="1" applyFont="1">
      <alignment vertical="center"/>
    </xf>
    <xf borderId="15" fillId="10" fontId="4" numFmtId="0" xfId="0" applyAlignment="1" applyBorder="1" applyFont="1">
      <alignment vertical="center"/>
    </xf>
    <xf borderId="15" fillId="11" fontId="4" numFmtId="0" xfId="0" applyAlignment="1" applyBorder="1" applyFont="1">
      <alignment vertical="center"/>
    </xf>
    <xf borderId="15" fillId="12" fontId="4" numFmtId="0" xfId="0" applyAlignment="1" applyBorder="1" applyFont="1">
      <alignment vertical="center"/>
    </xf>
    <xf borderId="15" fillId="13" fontId="4" numFmtId="0" xfId="0" applyAlignment="1" applyBorder="1" applyFont="1">
      <alignment vertical="center"/>
    </xf>
    <xf borderId="15" fillId="14" fontId="5" numFmtId="0" xfId="0" applyAlignment="1" applyBorder="1" applyFont="1">
      <alignment vertical="center"/>
    </xf>
    <xf borderId="30" fillId="13" fontId="4" numFmtId="166" xfId="0" applyAlignment="1" applyBorder="1" applyFont="1" applyNumberFormat="1">
      <alignment vertical="center"/>
    </xf>
    <xf borderId="0" fillId="0" fontId="4" numFmtId="166" xfId="0" applyAlignment="1" applyFont="1" applyNumberFormat="1">
      <alignment horizontal="center"/>
    </xf>
    <xf borderId="5" fillId="13" fontId="4" numFmtId="0" xfId="0" applyBorder="1" applyFont="1"/>
    <xf borderId="5" fillId="13" fontId="4" numFmtId="166" xfId="0" applyBorder="1" applyFont="1" applyNumberFormat="1"/>
    <xf borderId="0" fillId="0" fontId="5" numFmtId="0" xfId="0" applyFont="1"/>
    <xf borderId="0" fillId="0" fontId="4" numFmtId="166" xfId="0" applyFont="1" applyNumberFormat="1"/>
    <xf borderId="18" fillId="13" fontId="4" numFmtId="0" xfId="0" applyAlignment="1" applyBorder="1" applyFont="1">
      <alignment horizontal="center"/>
    </xf>
    <xf borderId="19" fillId="13" fontId="2" numFmtId="0" xfId="0" applyAlignment="1" applyBorder="1" applyFont="1">
      <alignment horizontal="center"/>
    </xf>
    <xf borderId="18" fillId="13" fontId="4" numFmtId="166" xfId="0" applyAlignment="1" applyBorder="1" applyFont="1" applyNumberFormat="1">
      <alignment horizontal="center"/>
    </xf>
    <xf borderId="1" fillId="13" fontId="13" numFmtId="0" xfId="0" applyAlignment="1" applyBorder="1" applyFont="1">
      <alignment horizontal="center" vertical="center"/>
    </xf>
    <xf borderId="2" fillId="13" fontId="4" numFmtId="0" xfId="0" applyBorder="1" applyFont="1"/>
    <xf borderId="4" fillId="0" fontId="4" numFmtId="0" xfId="0" applyBorder="1" applyFont="1"/>
    <xf borderId="4" fillId="13" fontId="4" numFmtId="0" xfId="0" applyBorder="1" applyFont="1"/>
    <xf borderId="31" fillId="13" fontId="4" numFmtId="166" xfId="0" applyBorder="1" applyFont="1" applyNumberFormat="1"/>
    <xf borderId="19" fillId="13" fontId="1" numFmtId="0" xfId="0" applyAlignment="1" applyBorder="1" applyFont="1">
      <alignment horizontal="center"/>
    </xf>
    <xf borderId="0" fillId="0" fontId="4" numFmtId="0" xfId="0" applyFont="1"/>
    <xf borderId="32" fillId="2" fontId="2" numFmtId="0" xfId="0" applyAlignment="1" applyBorder="1" applyFont="1">
      <alignment horizontal="center"/>
    </xf>
    <xf borderId="32" fillId="3" fontId="2" numFmtId="0" xfId="0" applyAlignment="1" applyBorder="1" applyFont="1">
      <alignment horizontal="center"/>
    </xf>
    <xf borderId="32" fillId="4" fontId="2" numFmtId="0" xfId="0" applyAlignment="1" applyBorder="1" applyFont="1">
      <alignment horizontal="center"/>
    </xf>
    <xf borderId="32" fillId="5" fontId="3" numFmtId="0" xfId="0" applyAlignment="1" applyBorder="1" applyFont="1">
      <alignment horizontal="center"/>
    </xf>
    <xf borderId="32" fillId="6" fontId="2" numFmtId="0" xfId="0" applyAlignment="1" applyBorder="1" applyFont="1">
      <alignment horizontal="center"/>
    </xf>
    <xf borderId="32" fillId="7" fontId="2" numFmtId="0" xfId="0" applyAlignment="1" applyBorder="1" applyFont="1">
      <alignment horizontal="center"/>
    </xf>
    <xf borderId="32" fillId="8" fontId="2" numFmtId="0" xfId="0" applyAlignment="1" applyBorder="1" applyFont="1">
      <alignment horizontal="center"/>
    </xf>
    <xf borderId="32" fillId="9" fontId="2" numFmtId="0" xfId="0" applyAlignment="1" applyBorder="1" applyFont="1">
      <alignment horizontal="center"/>
    </xf>
    <xf borderId="32" fillId="10" fontId="2" numFmtId="0" xfId="0" applyAlignment="1" applyBorder="1" applyFont="1">
      <alignment horizontal="center"/>
    </xf>
    <xf borderId="32" fillId="11" fontId="2" numFmtId="0" xfId="0" applyAlignment="1" applyBorder="1" applyFont="1">
      <alignment horizontal="center"/>
    </xf>
    <xf borderId="32" fillId="17" fontId="2" numFmtId="0" xfId="0" applyAlignment="1" applyBorder="1" applyFill="1" applyFont="1">
      <alignment horizontal="center"/>
    </xf>
    <xf borderId="32" fillId="13" fontId="2" numFmtId="0" xfId="0" applyAlignment="1" applyBorder="1" applyFont="1">
      <alignment horizontal="center"/>
    </xf>
    <xf borderId="32" fillId="14" fontId="3" numFmtId="0" xfId="0" applyAlignment="1" applyBorder="1" applyFont="1">
      <alignment horizontal="center"/>
    </xf>
    <xf borderId="4" fillId="0" fontId="14" numFmtId="0" xfId="0" applyAlignment="1" applyBorder="1" applyFont="1">
      <alignment horizontal="center"/>
    </xf>
    <xf borderId="33" fillId="0" fontId="14" numFmtId="0" xfId="0" applyAlignment="1" applyBorder="1" applyFont="1">
      <alignment horizontal="center"/>
    </xf>
    <xf borderId="31" fillId="0" fontId="14" numFmtId="0" xfId="0" applyAlignment="1" applyBorder="1" applyFont="1">
      <alignment horizontal="center"/>
    </xf>
    <xf borderId="0" fillId="0" fontId="2" numFmtId="0" xfId="0" applyAlignment="1" applyFont="1">
      <alignment horizontal="center"/>
    </xf>
    <xf borderId="18" fillId="13" fontId="3" numFmtId="0" xfId="0" applyAlignment="1" applyBorder="1" applyFont="1">
      <alignment horizontal="center"/>
    </xf>
    <xf borderId="22" fillId="0" fontId="2" numFmtId="0" xfId="0" applyAlignment="1" applyBorder="1" applyFont="1">
      <alignment horizontal="center" vertical="center"/>
    </xf>
    <xf borderId="24" fillId="0" fontId="2" numFmtId="0" xfId="0" applyAlignment="1" applyBorder="1" applyFont="1">
      <alignment horizontal="center"/>
    </xf>
    <xf borderId="24" fillId="0" fontId="2" numFmtId="0" xfId="0" applyAlignment="1" applyBorder="1" applyFont="1">
      <alignment horizontal="center" vertical="center"/>
    </xf>
    <xf borderId="24" fillId="0" fontId="4" numFmtId="0" xfId="0" applyAlignment="1" applyBorder="1" applyFont="1">
      <alignment vertical="center"/>
    </xf>
    <xf borderId="25" fillId="0" fontId="4" numFmtId="166" xfId="0" applyAlignment="1" applyBorder="1" applyFont="1" applyNumberFormat="1">
      <alignment vertical="center"/>
    </xf>
    <xf borderId="0" fillId="0" fontId="4" numFmtId="168" xfId="0" applyFont="1" applyNumberFormat="1"/>
    <xf borderId="10" fillId="0" fontId="2" numFmtId="0" xfId="0" applyAlignment="1" applyBorder="1" applyFont="1">
      <alignment horizontal="center" vertical="center"/>
    </xf>
    <xf borderId="1" fillId="0" fontId="2" numFmtId="0" xfId="0" applyAlignment="1" applyBorder="1" applyFont="1">
      <alignment horizontal="center"/>
    </xf>
    <xf borderId="1" fillId="0" fontId="2" numFmtId="0" xfId="0" applyAlignment="1" applyBorder="1" applyFont="1">
      <alignment horizontal="center" vertical="center"/>
    </xf>
    <xf borderId="1" fillId="0" fontId="4" numFmtId="0" xfId="0" applyAlignment="1" applyBorder="1" applyFont="1">
      <alignment vertical="center"/>
    </xf>
    <xf borderId="12" fillId="0" fontId="4" numFmtId="166" xfId="0" applyAlignment="1" applyBorder="1" applyFont="1" applyNumberFormat="1">
      <alignment vertical="center"/>
    </xf>
    <xf borderId="13" fillId="0" fontId="15" numFmtId="0" xfId="0" applyAlignment="1" applyBorder="1" applyFont="1">
      <alignment horizontal="center" vertical="center"/>
    </xf>
    <xf borderId="15" fillId="0" fontId="2" numFmtId="0" xfId="0" applyAlignment="1" applyBorder="1" applyFont="1">
      <alignment horizontal="center"/>
    </xf>
    <xf borderId="15" fillId="0" fontId="2" numFmtId="0" xfId="0" applyAlignment="1" applyBorder="1" applyFont="1">
      <alignment horizontal="center" vertical="center"/>
    </xf>
    <xf borderId="15" fillId="2" fontId="6" numFmtId="0" xfId="0" applyAlignment="1" applyBorder="1" applyFont="1">
      <alignment vertical="center"/>
    </xf>
    <xf borderId="15" fillId="3" fontId="6" numFmtId="0" xfId="0" applyAlignment="1" applyBorder="1" applyFont="1">
      <alignment vertical="center"/>
    </xf>
    <xf borderId="15" fillId="4" fontId="6" numFmtId="0" xfId="0" applyAlignment="1" applyBorder="1" applyFont="1">
      <alignment vertical="center"/>
    </xf>
    <xf borderId="15" fillId="5" fontId="7" numFmtId="0" xfId="0" applyAlignment="1" applyBorder="1" applyFont="1">
      <alignment vertical="center"/>
    </xf>
    <xf borderId="15" fillId="6" fontId="6" numFmtId="0" xfId="0" applyAlignment="1" applyBorder="1" applyFont="1">
      <alignment vertical="center"/>
    </xf>
    <xf borderId="15" fillId="7" fontId="6" numFmtId="0" xfId="0" applyAlignment="1" applyBorder="1" applyFont="1">
      <alignment vertical="center"/>
    </xf>
    <xf borderId="15" fillId="8" fontId="6" numFmtId="0" xfId="0" applyAlignment="1" applyBorder="1" applyFont="1">
      <alignment vertical="center"/>
    </xf>
    <xf borderId="15" fillId="9" fontId="6" numFmtId="0" xfId="0" applyAlignment="1" applyBorder="1" applyFont="1">
      <alignment vertical="center"/>
    </xf>
    <xf borderId="15" fillId="10" fontId="6" numFmtId="0" xfId="0" applyAlignment="1" applyBorder="1" applyFont="1">
      <alignment vertical="center"/>
    </xf>
    <xf borderId="15" fillId="11" fontId="6" numFmtId="0" xfId="0" applyAlignment="1" applyBorder="1" applyFont="1">
      <alignment vertical="center"/>
    </xf>
    <xf borderId="15" fillId="12" fontId="6" numFmtId="0" xfId="0" applyAlignment="1" applyBorder="1" applyFont="1">
      <alignment vertical="center"/>
    </xf>
    <xf borderId="15" fillId="13" fontId="6" numFmtId="0" xfId="0" applyAlignment="1" applyBorder="1" applyFont="1">
      <alignment vertical="center"/>
    </xf>
    <xf borderId="15" fillId="14" fontId="7" numFmtId="0" xfId="0" applyAlignment="1" applyBorder="1" applyFont="1">
      <alignment vertical="center"/>
    </xf>
    <xf borderId="15" fillId="0" fontId="4" numFmtId="0" xfId="0" applyAlignment="1" applyBorder="1" applyFont="1">
      <alignment vertical="center"/>
    </xf>
    <xf borderId="30" fillId="0" fontId="4" numFmtId="166" xfId="0" applyAlignment="1" applyBorder="1" applyFont="1" applyNumberFormat="1">
      <alignment vertical="center"/>
    </xf>
    <xf borderId="19" fillId="13" fontId="10" numFmtId="0" xfId="0" applyAlignment="1" applyBorder="1" applyFont="1">
      <alignment horizontal="center"/>
    </xf>
    <xf borderId="34" fillId="0" fontId="2" numFmtId="0" xfId="0" applyAlignment="1" applyBorder="1" applyFont="1">
      <alignment horizontal="center"/>
    </xf>
    <xf borderId="24" fillId="14" fontId="6" numFmtId="0" xfId="0" applyAlignment="1" applyBorder="1" applyFont="1">
      <alignment vertical="center"/>
    </xf>
    <xf borderId="35" fillId="0" fontId="2" numFmtId="0" xfId="0" applyAlignment="1" applyBorder="1" applyFont="1">
      <alignment horizontal="center"/>
    </xf>
    <xf borderId="1" fillId="14" fontId="6" numFmtId="0" xfId="0" applyAlignment="1" applyBorder="1" applyFont="1">
      <alignment vertical="center"/>
    </xf>
    <xf borderId="16" fillId="15" fontId="6" numFmtId="0" xfId="0" applyAlignment="1" applyBorder="1" applyFont="1">
      <alignment vertical="center"/>
    </xf>
    <xf borderId="16" fillId="14" fontId="6" numFmtId="0" xfId="0" applyAlignment="1" applyBorder="1" applyFont="1">
      <alignment vertical="center"/>
    </xf>
    <xf borderId="36" fillId="0" fontId="4" numFmtId="0" xfId="0" applyAlignment="1" applyBorder="1" applyFont="1">
      <alignment vertical="center"/>
    </xf>
    <xf borderId="37" fillId="13" fontId="4" numFmtId="0" xfId="0" applyAlignment="1" applyBorder="1" applyFont="1">
      <alignment vertical="center"/>
    </xf>
    <xf borderId="38" fillId="0" fontId="4" numFmtId="0" xfId="0" applyAlignment="1" applyBorder="1" applyFont="1">
      <alignment vertical="center"/>
    </xf>
    <xf borderId="39" fillId="13" fontId="4" numFmtId="0" xfId="0" applyAlignment="1" applyBorder="1" applyFont="1">
      <alignment vertical="center"/>
    </xf>
    <xf borderId="18" fillId="2" fontId="6" numFmtId="0" xfId="0" applyAlignment="1" applyBorder="1" applyFont="1">
      <alignment vertical="center"/>
    </xf>
    <xf borderId="10" fillId="13" fontId="2" numFmtId="0" xfId="0" applyAlignment="1" applyBorder="1" applyFont="1">
      <alignment horizontal="center" shrinkToFit="0" vertical="center" wrapText="1"/>
    </xf>
    <xf borderId="24" fillId="13" fontId="2" numFmtId="166" xfId="0" applyAlignment="1" applyBorder="1" applyFont="1" applyNumberFormat="1">
      <alignment vertical="center"/>
    </xf>
    <xf borderId="5" fillId="13" fontId="2" numFmtId="166" xfId="0" applyAlignment="1" applyBorder="1" applyFont="1" applyNumberFormat="1">
      <alignment vertical="center"/>
    </xf>
    <xf borderId="7" fillId="13" fontId="2" numFmtId="0" xfId="0" applyAlignment="1" applyBorder="1" applyFont="1">
      <alignment horizontal="center" shrinkToFit="0" vertical="center" wrapText="1"/>
    </xf>
    <xf borderId="1" fillId="0" fontId="4" numFmtId="0" xfId="0" applyBorder="1" applyFont="1"/>
    <xf borderId="1" fillId="0" fontId="4" numFmtId="166" xfId="0" applyBorder="1" applyFont="1" applyNumberFormat="1"/>
    <xf borderId="0" fillId="0" fontId="16" numFmtId="0" xfId="0" applyAlignment="1" applyFont="1">
      <alignment horizontal="center"/>
    </xf>
    <xf borderId="0" fillId="0" fontId="4" numFmtId="0" xfId="0" applyAlignment="1" applyFont="1">
      <alignment vertical="center"/>
    </xf>
    <xf borderId="4" fillId="2" fontId="2" numFmtId="0" xfId="0" applyAlignment="1" applyBorder="1" applyFont="1">
      <alignment horizontal="center"/>
    </xf>
    <xf borderId="4" fillId="3" fontId="2" numFmtId="0" xfId="0" applyAlignment="1" applyBorder="1" applyFont="1">
      <alignment horizontal="center"/>
    </xf>
    <xf borderId="4" fillId="4" fontId="2" numFmtId="0" xfId="0" applyAlignment="1" applyBorder="1" applyFont="1">
      <alignment horizontal="center"/>
    </xf>
    <xf borderId="4" fillId="5" fontId="3" numFmtId="0" xfId="0" applyAlignment="1" applyBorder="1" applyFont="1">
      <alignment horizontal="center"/>
    </xf>
    <xf borderId="4" fillId="6" fontId="2" numFmtId="0" xfId="0" applyAlignment="1" applyBorder="1" applyFont="1">
      <alignment horizontal="center"/>
    </xf>
    <xf borderId="4" fillId="7" fontId="2" numFmtId="0" xfId="0" applyAlignment="1" applyBorder="1" applyFont="1">
      <alignment horizontal="center"/>
    </xf>
    <xf borderId="4" fillId="8" fontId="2" numFmtId="0" xfId="0" applyAlignment="1" applyBorder="1" applyFont="1">
      <alignment horizontal="center"/>
    </xf>
    <xf borderId="4" fillId="9" fontId="2" numFmtId="0" xfId="0" applyAlignment="1" applyBorder="1" applyFont="1">
      <alignment horizontal="center"/>
    </xf>
    <xf borderId="4" fillId="14" fontId="3" numFmtId="0" xfId="0" applyAlignment="1" applyBorder="1" applyFont="1">
      <alignment horizontal="center"/>
    </xf>
    <xf borderId="4" fillId="17" fontId="2" numFmtId="0" xfId="0" applyAlignment="1" applyBorder="1" applyFont="1">
      <alignment horizontal="center"/>
    </xf>
    <xf borderId="4" fillId="13" fontId="2" numFmtId="0" xfId="0" applyAlignment="1" applyBorder="1" applyFont="1">
      <alignment horizontal="center"/>
    </xf>
    <xf borderId="0" fillId="0" fontId="2" numFmtId="0" xfId="0" applyFont="1"/>
    <xf borderId="40" fillId="0" fontId="17" numFmtId="0" xfId="0" applyAlignment="1" applyBorder="1" applyFont="1">
      <alignment horizontal="left" vertical="center"/>
    </xf>
    <xf borderId="41" fillId="0" fontId="9" numFmtId="0" xfId="0" applyBorder="1" applyFont="1"/>
    <xf borderId="42" fillId="0" fontId="18" numFmtId="0" xfId="0" applyAlignment="1" applyBorder="1" applyFont="1">
      <alignment horizontal="center" vertical="center"/>
    </xf>
    <xf borderId="42" fillId="0" fontId="19" numFmtId="0" xfId="0" applyAlignment="1" applyBorder="1" applyFont="1">
      <alignment horizontal="center" vertical="center"/>
    </xf>
    <xf borderId="42" fillId="0" fontId="9" numFmtId="0" xfId="0" applyBorder="1" applyFont="1"/>
    <xf borderId="43" fillId="0" fontId="20" numFmtId="166" xfId="0" applyAlignment="1" applyBorder="1" applyFont="1" applyNumberFormat="1">
      <alignment vertical="center"/>
    </xf>
    <xf borderId="43" fillId="2" fontId="18" numFmtId="0" xfId="0" applyAlignment="1" applyBorder="1" applyFont="1">
      <alignment horizontal="center" vertical="center"/>
    </xf>
    <xf borderId="43" fillId="3" fontId="18" numFmtId="0" xfId="0" applyAlignment="1" applyBorder="1" applyFont="1">
      <alignment horizontal="center" vertical="center"/>
    </xf>
    <xf borderId="43" fillId="4" fontId="18" numFmtId="0" xfId="0" applyAlignment="1" applyBorder="1" applyFont="1">
      <alignment horizontal="center" vertical="center"/>
    </xf>
    <xf borderId="43" fillId="5" fontId="21" numFmtId="0" xfId="0" applyAlignment="1" applyBorder="1" applyFont="1">
      <alignment horizontal="center" vertical="center"/>
    </xf>
    <xf borderId="43" fillId="15" fontId="18" numFmtId="0" xfId="0" applyAlignment="1" applyBorder="1" applyFont="1">
      <alignment horizontal="center" vertical="center"/>
    </xf>
    <xf borderId="43" fillId="18" fontId="18" numFmtId="0" xfId="0" applyAlignment="1" applyBorder="1" applyFill="1" applyFont="1">
      <alignment horizontal="center" vertical="center"/>
    </xf>
    <xf borderId="43" fillId="8" fontId="18" numFmtId="0" xfId="0" applyAlignment="1" applyBorder="1" applyFont="1">
      <alignment horizontal="center" vertical="center"/>
    </xf>
    <xf borderId="43" fillId="9" fontId="18" numFmtId="0" xfId="0" applyAlignment="1" applyBorder="1" applyFont="1">
      <alignment horizontal="center" vertical="center"/>
    </xf>
    <xf borderId="43" fillId="14" fontId="21" numFmtId="0" xfId="0" applyAlignment="1" applyBorder="1" applyFont="1">
      <alignment horizontal="center" vertical="center"/>
    </xf>
    <xf borderId="43" fillId="17" fontId="18" numFmtId="0" xfId="0" applyAlignment="1" applyBorder="1" applyFont="1">
      <alignment horizontal="center" vertical="center"/>
    </xf>
    <xf borderId="43" fillId="0" fontId="18" numFmtId="0" xfId="0" applyAlignment="1" applyBorder="1" applyFont="1">
      <alignment horizontal="center" vertical="center"/>
    </xf>
    <xf borderId="43" fillId="0" fontId="20" numFmtId="0" xfId="0" applyAlignment="1" applyBorder="1" applyFont="1">
      <alignment horizontal="center" vertical="center"/>
    </xf>
    <xf borderId="44" fillId="0" fontId="20" numFmtId="166" xfId="0" applyAlignment="1" applyBorder="1" applyFont="1" applyNumberFormat="1">
      <alignment horizontal="center" vertical="center"/>
    </xf>
    <xf borderId="0" fillId="0" fontId="4" numFmtId="169" xfId="0" applyFont="1" applyNumberFormat="1"/>
    <xf borderId="45" fillId="0" fontId="18" numFmtId="0" xfId="0" applyAlignment="1" applyBorder="1" applyFont="1">
      <alignment horizontal="center" shrinkToFit="0" vertical="center" wrapText="1"/>
    </xf>
    <xf borderId="46" fillId="0" fontId="4" numFmtId="0" xfId="0" applyBorder="1" applyFont="1"/>
    <xf borderId="46" fillId="0" fontId="4" numFmtId="0" xfId="0" applyAlignment="1" applyBorder="1" applyFont="1">
      <alignment horizontal="center" vertical="center"/>
    </xf>
    <xf borderId="46" fillId="0" fontId="4" numFmtId="0" xfId="0" applyAlignment="1" applyBorder="1" applyFont="1">
      <alignment horizontal="center" shrinkToFit="0" vertical="center" wrapText="1"/>
    </xf>
    <xf borderId="46" fillId="0" fontId="2" numFmtId="0" xfId="0" applyAlignment="1" applyBorder="1" applyFont="1">
      <alignment horizontal="center" shrinkToFit="0" vertical="center" wrapText="1"/>
    </xf>
    <xf borderId="46" fillId="0" fontId="2" numFmtId="166" xfId="0" applyAlignment="1" applyBorder="1" applyFont="1" applyNumberFormat="1">
      <alignment vertical="center"/>
    </xf>
    <xf borderId="5" fillId="2" fontId="4" numFmtId="0" xfId="0" applyAlignment="1" applyBorder="1" applyFont="1">
      <alignment horizontal="center" vertical="center"/>
    </xf>
    <xf borderId="5" fillId="3" fontId="4" numFmtId="0" xfId="0" applyAlignment="1" applyBorder="1" applyFont="1">
      <alignment horizontal="center" vertical="center"/>
    </xf>
    <xf borderId="5" fillId="4" fontId="4" numFmtId="0" xfId="0" applyAlignment="1" applyBorder="1" applyFont="1">
      <alignment horizontal="center" vertical="center"/>
    </xf>
    <xf borderId="5" fillId="5" fontId="5" numFmtId="0" xfId="0" applyAlignment="1" applyBorder="1" applyFont="1">
      <alignment horizontal="center" vertical="center"/>
    </xf>
    <xf borderId="5" fillId="15" fontId="4" numFmtId="0" xfId="0" applyAlignment="1" applyBorder="1" applyFont="1">
      <alignment horizontal="center" vertical="center"/>
    </xf>
    <xf borderId="5" fillId="18" fontId="4" numFmtId="0" xfId="0" applyAlignment="1" applyBorder="1" applyFont="1">
      <alignment horizontal="center" vertical="center"/>
    </xf>
    <xf borderId="5" fillId="8" fontId="4" numFmtId="0" xfId="0" applyAlignment="1" applyBorder="1" applyFont="1">
      <alignment horizontal="center" vertical="center"/>
    </xf>
    <xf borderId="5" fillId="9" fontId="4" numFmtId="0" xfId="0" applyAlignment="1" applyBorder="1" applyFont="1">
      <alignment horizontal="center" vertical="center"/>
    </xf>
    <xf borderId="5" fillId="14" fontId="5" numFmtId="0" xfId="0" applyAlignment="1" applyBorder="1" applyFont="1">
      <alignment horizontal="center" vertical="center"/>
    </xf>
    <xf borderId="5" fillId="17" fontId="4" numFmtId="0" xfId="0" applyAlignment="1" applyBorder="1" applyFont="1">
      <alignment horizontal="center" vertical="center"/>
    </xf>
    <xf borderId="47" fillId="0" fontId="4" numFmtId="166" xfId="0" applyAlignment="1" applyBorder="1" applyFont="1" applyNumberFormat="1">
      <alignment horizontal="center" vertical="center"/>
    </xf>
    <xf borderId="10" fillId="0" fontId="18" numFmtId="0" xfId="0" applyAlignment="1" applyBorder="1" applyFont="1">
      <alignment horizontal="center" shrinkToFit="0" vertical="center" wrapText="1"/>
    </xf>
    <xf borderId="1" fillId="0" fontId="13" numFmtId="0" xfId="0" applyAlignment="1" applyBorder="1" applyFont="1">
      <alignment horizontal="center" vertical="center"/>
    </xf>
    <xf borderId="1" fillId="0" fontId="4" numFmtId="0" xfId="0" applyAlignment="1" applyBorder="1" applyFont="1">
      <alignment horizontal="center" vertical="center"/>
    </xf>
    <xf borderId="1" fillId="0" fontId="4" numFmtId="0" xfId="0" applyAlignment="1" applyBorder="1" applyFont="1">
      <alignment horizontal="center" shrinkToFit="0" vertical="center" wrapText="1"/>
    </xf>
    <xf borderId="1" fillId="0" fontId="2" numFmtId="0" xfId="0" applyAlignment="1" applyBorder="1" applyFont="1">
      <alignment horizontal="center" shrinkToFit="0" vertical="center" wrapText="1"/>
    </xf>
    <xf borderId="1" fillId="0" fontId="2" numFmtId="166" xfId="0" applyAlignment="1" applyBorder="1" applyFont="1" applyNumberFormat="1">
      <alignment vertical="center"/>
    </xf>
    <xf borderId="1" fillId="2" fontId="4" numFmtId="0" xfId="0" applyAlignment="1" applyBorder="1" applyFont="1">
      <alignment horizontal="center" vertical="center"/>
    </xf>
    <xf borderId="1" fillId="3" fontId="4" numFmtId="0" xfId="0" applyAlignment="1" applyBorder="1" applyFont="1">
      <alignment horizontal="center" vertical="center"/>
    </xf>
    <xf borderId="1" fillId="4" fontId="4" numFmtId="0" xfId="0" applyAlignment="1" applyBorder="1" applyFont="1">
      <alignment horizontal="center" vertical="center"/>
    </xf>
    <xf borderId="1" fillId="5" fontId="5" numFmtId="0" xfId="0" applyAlignment="1" applyBorder="1" applyFont="1">
      <alignment horizontal="center" vertical="center"/>
    </xf>
    <xf borderId="1" fillId="15" fontId="4" numFmtId="0" xfId="0" applyAlignment="1" applyBorder="1" applyFont="1">
      <alignment horizontal="center" vertical="center"/>
    </xf>
    <xf borderId="1" fillId="18" fontId="4" numFmtId="0" xfId="0" applyAlignment="1" applyBorder="1" applyFont="1">
      <alignment horizontal="center" vertical="center"/>
    </xf>
    <xf borderId="1" fillId="8" fontId="4" numFmtId="0" xfId="0" applyAlignment="1" applyBorder="1" applyFont="1">
      <alignment horizontal="center" vertical="center"/>
    </xf>
    <xf borderId="1" fillId="9" fontId="4" numFmtId="0" xfId="0" applyAlignment="1" applyBorder="1" applyFont="1">
      <alignment horizontal="center" vertical="center"/>
    </xf>
    <xf borderId="1" fillId="14" fontId="5" numFmtId="0" xfId="0" applyAlignment="1" applyBorder="1" applyFont="1">
      <alignment horizontal="center" vertical="center"/>
    </xf>
    <xf borderId="1" fillId="17" fontId="4" numFmtId="0" xfId="0" applyAlignment="1" applyBorder="1" applyFont="1">
      <alignment horizontal="center" vertical="center"/>
    </xf>
    <xf borderId="12" fillId="0" fontId="4" numFmtId="166" xfId="0" applyAlignment="1" applyBorder="1" applyFont="1" applyNumberFormat="1">
      <alignment horizontal="center" vertical="center"/>
    </xf>
    <xf borderId="0" fillId="0" fontId="22" numFmtId="166" xfId="0" applyFont="1" applyNumberFormat="1"/>
    <xf borderId="40" fillId="0" fontId="17" numFmtId="0" xfId="0" applyAlignment="1" applyBorder="1" applyFont="1">
      <alignment horizontal="center" shrinkToFit="0" vertical="center" wrapText="1"/>
    </xf>
    <xf borderId="42" fillId="0" fontId="20" numFmtId="0" xfId="0" applyAlignment="1" applyBorder="1" applyFont="1">
      <alignment horizontal="center" vertical="center"/>
    </xf>
    <xf borderId="42" fillId="0" fontId="23" numFmtId="0" xfId="0" applyAlignment="1" applyBorder="1" applyFont="1">
      <alignment horizontal="center" vertical="center"/>
    </xf>
    <xf borderId="43" fillId="2" fontId="20" numFmtId="0" xfId="0" applyAlignment="1" applyBorder="1" applyFont="1">
      <alignment horizontal="center" vertical="center"/>
    </xf>
    <xf borderId="43" fillId="3" fontId="20" numFmtId="0" xfId="0" applyAlignment="1" applyBorder="1" applyFont="1">
      <alignment horizontal="center" vertical="center"/>
    </xf>
    <xf borderId="43" fillId="4" fontId="20" numFmtId="0" xfId="0" applyAlignment="1" applyBorder="1" applyFont="1">
      <alignment horizontal="center" vertical="center"/>
    </xf>
    <xf borderId="43" fillId="5" fontId="24" numFmtId="0" xfId="0" applyAlignment="1" applyBorder="1" applyFont="1">
      <alignment horizontal="center" vertical="center"/>
    </xf>
    <xf borderId="43" fillId="15" fontId="20" numFmtId="0" xfId="0" applyAlignment="1" applyBorder="1" applyFont="1">
      <alignment horizontal="center" vertical="center"/>
    </xf>
    <xf borderId="43" fillId="18" fontId="20" numFmtId="0" xfId="0" applyAlignment="1" applyBorder="1" applyFont="1">
      <alignment horizontal="center" vertical="center"/>
    </xf>
    <xf borderId="43" fillId="8" fontId="20" numFmtId="0" xfId="0" applyAlignment="1" applyBorder="1" applyFont="1">
      <alignment horizontal="center" vertical="center"/>
    </xf>
    <xf borderId="43" fillId="9" fontId="20" numFmtId="0" xfId="0" applyAlignment="1" applyBorder="1" applyFont="1">
      <alignment horizontal="center" vertical="center"/>
    </xf>
    <xf borderId="43" fillId="14" fontId="24" numFmtId="0" xfId="0" applyAlignment="1" applyBorder="1" applyFont="1">
      <alignment horizontal="center" vertical="center"/>
    </xf>
    <xf borderId="43" fillId="17" fontId="20" numFmtId="0" xfId="0" applyAlignment="1" applyBorder="1" applyFont="1">
      <alignment horizontal="center" vertical="center"/>
    </xf>
    <xf borderId="45" fillId="0" fontId="20" numFmtId="0" xfId="0" applyAlignment="1" applyBorder="1" applyFont="1">
      <alignment horizontal="center" vertical="center"/>
    </xf>
    <xf borderId="46" fillId="0" fontId="2" numFmtId="0" xfId="0" applyAlignment="1" applyBorder="1" applyFont="1">
      <alignment horizontal="center" vertical="center"/>
    </xf>
    <xf borderId="1" fillId="13" fontId="4" numFmtId="0" xfId="0" applyAlignment="1" applyBorder="1" applyFont="1">
      <alignment horizontal="center" vertical="center"/>
    </xf>
    <xf borderId="40" fillId="0" fontId="17" numFmtId="0" xfId="0" applyAlignment="1" applyBorder="1" applyFont="1">
      <alignment horizontal="center" vertical="center"/>
    </xf>
    <xf borderId="43" fillId="0" fontId="4" numFmtId="0" xfId="0" applyAlignment="1" applyBorder="1" applyFont="1">
      <alignment horizontal="center" vertical="center"/>
    </xf>
    <xf borderId="45" fillId="0" fontId="25" numFmtId="0" xfId="0" applyAlignment="1" applyBorder="1" applyFont="1">
      <alignment horizontal="center" vertical="center"/>
    </xf>
    <xf borderId="46" fillId="0" fontId="13" numFmtId="0" xfId="0" applyAlignment="1" applyBorder="1" applyFont="1">
      <alignment horizontal="center" vertical="center"/>
    </xf>
    <xf borderId="40" fillId="0" fontId="26" numFmtId="0" xfId="0" applyAlignment="1" applyBorder="1" applyFont="1">
      <alignment horizontal="center" shrinkToFit="0" vertical="center" wrapText="1"/>
    </xf>
    <xf borderId="43" fillId="2" fontId="4" numFmtId="0" xfId="0" applyAlignment="1" applyBorder="1" applyFont="1">
      <alignment horizontal="center" vertical="center"/>
    </xf>
    <xf borderId="43" fillId="3" fontId="4" numFmtId="0" xfId="0" applyAlignment="1" applyBorder="1" applyFont="1">
      <alignment horizontal="center" vertical="center"/>
    </xf>
    <xf borderId="43" fillId="4" fontId="4" numFmtId="0" xfId="0" applyAlignment="1" applyBorder="1" applyFont="1">
      <alignment horizontal="center" vertical="center"/>
    </xf>
    <xf borderId="43" fillId="5" fontId="5" numFmtId="0" xfId="0" applyAlignment="1" applyBorder="1" applyFont="1">
      <alignment horizontal="center" vertical="center"/>
    </xf>
    <xf borderId="43" fillId="15" fontId="4" numFmtId="0" xfId="0" applyAlignment="1" applyBorder="1" applyFont="1">
      <alignment horizontal="center" vertical="center"/>
    </xf>
    <xf borderId="43" fillId="18" fontId="4" numFmtId="0" xfId="0" applyAlignment="1" applyBorder="1" applyFont="1">
      <alignment horizontal="center" vertical="center"/>
    </xf>
    <xf borderId="43" fillId="8" fontId="4" numFmtId="0" xfId="0" applyAlignment="1" applyBorder="1" applyFont="1">
      <alignment horizontal="center" vertical="center"/>
    </xf>
    <xf borderId="43" fillId="9" fontId="4" numFmtId="0" xfId="0" applyAlignment="1" applyBorder="1" applyFont="1">
      <alignment horizontal="center" vertical="center"/>
    </xf>
    <xf borderId="43" fillId="14" fontId="5" numFmtId="0" xfId="0" applyAlignment="1" applyBorder="1" applyFont="1">
      <alignment horizontal="center" vertical="center"/>
    </xf>
    <xf borderId="43" fillId="17" fontId="4" numFmtId="0" xfId="0" applyAlignment="1" applyBorder="1" applyFont="1">
      <alignment horizontal="center" vertical="center"/>
    </xf>
    <xf borderId="45" fillId="0" fontId="26" numFmtId="0" xfId="0" applyAlignment="1" applyBorder="1" applyFont="1">
      <alignment horizontal="center" shrinkToFit="0" vertical="center" wrapText="1"/>
    </xf>
    <xf borderId="46" fillId="0" fontId="4" numFmtId="166" xfId="0" applyAlignment="1" applyBorder="1" applyFont="1" applyNumberFormat="1">
      <alignment horizontal="center" vertical="center"/>
    </xf>
    <xf borderId="0" fillId="0" fontId="6" numFmtId="0" xfId="0" applyAlignment="1" applyFont="1">
      <alignment horizontal="center"/>
    </xf>
    <xf borderId="0" fillId="0" fontId="4" numFmtId="0" xfId="0" applyAlignment="1" applyFont="1">
      <alignment horizontal="center"/>
    </xf>
    <xf borderId="0" fillId="0" fontId="14" numFmtId="0" xfId="0" applyAlignment="1" applyFont="1">
      <alignment horizontal="center"/>
    </xf>
    <xf borderId="48" fillId="0" fontId="27" numFmtId="0" xfId="0" applyBorder="1" applyFont="1"/>
    <xf borderId="49" fillId="0" fontId="25" numFmtId="0" xfId="0" applyBorder="1" applyFont="1"/>
    <xf borderId="49" fillId="0" fontId="28" numFmtId="0" xfId="0" applyAlignment="1" applyBorder="1" applyFont="1">
      <alignment horizontal="center"/>
    </xf>
    <xf borderId="49" fillId="0" fontId="4" numFmtId="0" xfId="0" applyBorder="1" applyFont="1"/>
    <xf borderId="49" fillId="0" fontId="29" numFmtId="170" xfId="0" applyBorder="1" applyFont="1" applyNumberFormat="1"/>
    <xf borderId="49" fillId="0" fontId="18" numFmtId="166" xfId="0" applyBorder="1" applyFont="1" applyNumberFormat="1"/>
    <xf borderId="4" fillId="2" fontId="4" numFmtId="0" xfId="0" applyAlignment="1" applyBorder="1" applyFont="1">
      <alignment horizontal="center" vertical="center"/>
    </xf>
    <xf borderId="4" fillId="3" fontId="4" numFmtId="0" xfId="0" applyAlignment="1" applyBorder="1" applyFont="1">
      <alignment horizontal="center" vertical="center"/>
    </xf>
    <xf borderId="4" fillId="4" fontId="4" numFmtId="0" xfId="0" applyAlignment="1" applyBorder="1" applyFont="1">
      <alignment horizontal="center" vertical="center"/>
    </xf>
    <xf borderId="4" fillId="5" fontId="5" numFmtId="0" xfId="0" applyAlignment="1" applyBorder="1" applyFont="1">
      <alignment horizontal="center" vertical="center"/>
    </xf>
    <xf borderId="4" fillId="6" fontId="4" numFmtId="0" xfId="0" applyAlignment="1" applyBorder="1" applyFont="1">
      <alignment horizontal="center" vertical="center"/>
    </xf>
    <xf borderId="4" fillId="7" fontId="4" numFmtId="0" xfId="0" applyAlignment="1" applyBorder="1" applyFont="1">
      <alignment horizontal="center" vertical="center"/>
    </xf>
    <xf borderId="4" fillId="8" fontId="4" numFmtId="0" xfId="0" applyAlignment="1" applyBorder="1" applyFont="1">
      <alignment horizontal="center" vertical="center"/>
    </xf>
    <xf borderId="4" fillId="9" fontId="4" numFmtId="0" xfId="0" applyAlignment="1" applyBorder="1" applyFont="1">
      <alignment horizontal="center" vertical="center"/>
    </xf>
    <xf borderId="4" fillId="14" fontId="5" numFmtId="0" xfId="0" applyAlignment="1" applyBorder="1" applyFont="1">
      <alignment horizontal="center" vertical="center"/>
    </xf>
    <xf borderId="4" fillId="12" fontId="4" numFmtId="0" xfId="0" applyAlignment="1" applyBorder="1" applyFont="1">
      <alignment horizontal="center" vertical="center"/>
    </xf>
    <xf borderId="4" fillId="0" fontId="4" numFmtId="0" xfId="0" applyAlignment="1" applyBorder="1" applyFont="1">
      <alignment horizontal="center" vertical="center"/>
    </xf>
    <xf borderId="31" fillId="0" fontId="4" numFmtId="166" xfId="0" applyAlignment="1" applyBorder="1" applyFont="1" applyNumberFormat="1">
      <alignment horizontal="center" vertical="center"/>
    </xf>
    <xf borderId="22" fillId="0" fontId="25" numFmtId="0" xfId="0" applyAlignment="1" applyBorder="1" applyFont="1">
      <alignment horizontal="center" vertical="center"/>
    </xf>
    <xf borderId="24" fillId="0" fontId="4" numFmtId="0" xfId="0" applyBorder="1" applyFont="1"/>
    <xf borderId="24" fillId="0" fontId="4" numFmtId="0" xfId="0" applyAlignment="1" applyBorder="1" applyFont="1">
      <alignment horizontal="center" vertical="center"/>
    </xf>
    <xf borderId="24" fillId="0" fontId="2" numFmtId="166" xfId="0" applyAlignment="1" applyBorder="1" applyFont="1" applyNumberFormat="1">
      <alignment vertical="center"/>
    </xf>
    <xf borderId="24" fillId="2" fontId="4" numFmtId="0" xfId="0" applyAlignment="1" applyBorder="1" applyFont="1">
      <alignment horizontal="center" vertical="center"/>
    </xf>
    <xf borderId="24" fillId="3" fontId="4" numFmtId="0" xfId="0" applyAlignment="1" applyBorder="1" applyFont="1">
      <alignment horizontal="center" vertical="center"/>
    </xf>
    <xf borderId="24" fillId="4" fontId="4" numFmtId="0" xfId="0" applyAlignment="1" applyBorder="1" applyFont="1">
      <alignment horizontal="center" vertical="center"/>
    </xf>
    <xf borderId="24" fillId="5" fontId="30" numFmtId="0" xfId="0" applyAlignment="1" applyBorder="1" applyFont="1">
      <alignment horizontal="center" vertical="center"/>
    </xf>
    <xf borderId="24" fillId="6" fontId="4" numFmtId="0" xfId="0" applyAlignment="1" applyBorder="1" applyFont="1">
      <alignment horizontal="center" vertical="center"/>
    </xf>
    <xf borderId="24" fillId="7" fontId="4" numFmtId="0" xfId="0" applyAlignment="1" applyBorder="1" applyFont="1">
      <alignment horizontal="center" vertical="center"/>
    </xf>
    <xf borderId="24" fillId="8" fontId="4" numFmtId="0" xfId="0" applyAlignment="1" applyBorder="1" applyFont="1">
      <alignment horizontal="center" vertical="center"/>
    </xf>
    <xf borderId="24" fillId="9" fontId="4" numFmtId="0" xfId="0" applyAlignment="1" applyBorder="1" applyFont="1">
      <alignment horizontal="center" vertical="center"/>
    </xf>
    <xf borderId="24" fillId="14" fontId="5" numFmtId="0" xfId="0" applyAlignment="1" applyBorder="1" applyFont="1">
      <alignment horizontal="center" vertical="center"/>
    </xf>
    <xf borderId="24" fillId="12" fontId="4" numFmtId="0" xfId="0" applyAlignment="1" applyBorder="1" applyFont="1">
      <alignment horizontal="center" vertical="center"/>
    </xf>
    <xf borderId="25" fillId="0" fontId="4" numFmtId="166" xfId="0" applyAlignment="1" applyBorder="1" applyFont="1" applyNumberFormat="1">
      <alignment horizontal="center" vertical="center"/>
    </xf>
    <xf borderId="1" fillId="6" fontId="4" numFmtId="0" xfId="0" applyAlignment="1" applyBorder="1" applyFont="1">
      <alignment horizontal="center" vertical="center"/>
    </xf>
    <xf borderId="1" fillId="7" fontId="4" numFmtId="0" xfId="0" applyAlignment="1" applyBorder="1" applyFont="1">
      <alignment horizontal="center" vertical="center"/>
    </xf>
    <xf borderId="1" fillId="12" fontId="4" numFmtId="0" xfId="0" applyAlignment="1" applyBorder="1" applyFont="1">
      <alignment horizontal="center" vertical="center"/>
    </xf>
    <xf borderId="10" fillId="0" fontId="25" numFmtId="0" xfId="0" applyAlignment="1" applyBorder="1" applyFont="1">
      <alignment horizontal="center" vertical="center"/>
    </xf>
    <xf borderId="1" fillId="5" fontId="30" numFmtId="0" xfId="0" applyAlignment="1" applyBorder="1" applyFont="1">
      <alignment horizontal="center" vertical="center"/>
    </xf>
    <xf borderId="0" fillId="0" fontId="25" numFmtId="0" xfId="0" applyAlignment="1" applyFont="1">
      <alignment horizontal="center" vertical="center"/>
    </xf>
    <xf borderId="50" fillId="0" fontId="4" numFmtId="0" xfId="0" applyBorder="1" applyFont="1"/>
    <xf borderId="50" fillId="0" fontId="4" numFmtId="0" xfId="0" applyAlignment="1" applyBorder="1" applyFont="1">
      <alignment horizontal="center" vertical="center"/>
    </xf>
    <xf borderId="50" fillId="0" fontId="2" numFmtId="0" xfId="0" applyAlignment="1" applyBorder="1" applyFont="1">
      <alignment horizontal="center" vertical="center"/>
    </xf>
    <xf borderId="50" fillId="0" fontId="2" numFmtId="166" xfId="0" applyAlignment="1" applyBorder="1" applyFont="1" applyNumberFormat="1">
      <alignment vertical="center"/>
    </xf>
    <xf borderId="50" fillId="0" fontId="4" numFmtId="170" xfId="0" applyAlignment="1" applyBorder="1" applyFont="1" applyNumberFormat="1">
      <alignment vertical="center"/>
    </xf>
    <xf borderId="51" fillId="0" fontId="4" numFmtId="166" xfId="0" applyAlignment="1" applyBorder="1" applyFont="1" applyNumberFormat="1">
      <alignment horizontal="center" vertical="center"/>
    </xf>
    <xf borderId="48" fillId="0" fontId="18" numFmtId="0" xfId="0" applyAlignment="1" applyBorder="1" applyFont="1">
      <alignment horizontal="center" vertical="center"/>
    </xf>
    <xf borderId="3" fillId="0" fontId="9" numFmtId="0" xfId="0" applyBorder="1" applyFont="1"/>
    <xf borderId="4" fillId="0" fontId="31" numFmtId="0" xfId="0" applyAlignment="1" applyBorder="1" applyFont="1">
      <alignment horizontal="center" vertical="center"/>
    </xf>
    <xf borderId="4" fillId="0" fontId="18" numFmtId="166" xfId="0" applyAlignment="1" applyBorder="1" applyFont="1" applyNumberFormat="1">
      <alignment vertical="center"/>
    </xf>
    <xf borderId="5" fillId="6" fontId="4" numFmtId="0" xfId="0" applyAlignment="1" applyBorder="1" applyFont="1">
      <alignment horizontal="center" vertical="center"/>
    </xf>
    <xf borderId="5" fillId="7" fontId="4" numFmtId="0" xfId="0" applyAlignment="1" applyBorder="1" applyFont="1">
      <alignment horizontal="center" vertical="center"/>
    </xf>
    <xf borderId="5" fillId="12" fontId="4" numFmtId="0" xfId="0" applyAlignment="1" applyBorder="1" applyFont="1">
      <alignment horizontal="center" vertical="center"/>
    </xf>
    <xf borderId="0" fillId="0" fontId="2" numFmtId="166" xfId="0" applyFont="1" applyNumberFormat="1"/>
    <xf borderId="52" fillId="0" fontId="25" numFmtId="0" xfId="0" applyAlignment="1" applyBorder="1" applyFont="1">
      <alignment horizontal="center" vertical="center"/>
    </xf>
    <xf borderId="35" fillId="0" fontId="9" numFmtId="0" xfId="0" applyBorder="1" applyFont="1"/>
    <xf borderId="1" fillId="0" fontId="29" numFmtId="0" xfId="0" applyAlignment="1" applyBorder="1" applyFont="1">
      <alignment horizontal="center" vertical="center"/>
    </xf>
    <xf borderId="1" fillId="13" fontId="5" numFmtId="0" xfId="0" applyAlignment="1" applyBorder="1" applyFont="1">
      <alignment horizontal="center" vertical="center"/>
    </xf>
    <xf borderId="1" fillId="0" fontId="32" numFmtId="0" xfId="0" applyAlignment="1" applyBorder="1" applyFont="1">
      <alignment horizontal="center" vertical="center"/>
    </xf>
    <xf borderId="15" fillId="0" fontId="4" numFmtId="0" xfId="0" applyBorder="1" applyFont="1"/>
    <xf borderId="15" fillId="0" fontId="4" numFmtId="0" xfId="0" applyAlignment="1" applyBorder="1" applyFont="1">
      <alignment horizontal="center" vertical="center"/>
    </xf>
    <xf borderId="15" fillId="0" fontId="2" numFmtId="166" xfId="0" applyAlignment="1" applyBorder="1" applyFont="1" applyNumberFormat="1">
      <alignment vertical="center"/>
    </xf>
    <xf borderId="15" fillId="2" fontId="4" numFmtId="0" xfId="0" applyAlignment="1" applyBorder="1" applyFont="1">
      <alignment horizontal="center" vertical="center"/>
    </xf>
    <xf borderId="15" fillId="3" fontId="4" numFmtId="0" xfId="0" applyAlignment="1" applyBorder="1" applyFont="1">
      <alignment horizontal="center" vertical="center"/>
    </xf>
    <xf borderId="15" fillId="4" fontId="4" numFmtId="0" xfId="0" applyAlignment="1" applyBorder="1" applyFont="1">
      <alignment horizontal="center" vertical="center"/>
    </xf>
    <xf borderId="15" fillId="5" fontId="5" numFmtId="0" xfId="0" applyAlignment="1" applyBorder="1" applyFont="1">
      <alignment horizontal="center" vertical="center"/>
    </xf>
    <xf borderId="15" fillId="6" fontId="4" numFmtId="0" xfId="0" applyAlignment="1" applyBorder="1" applyFont="1">
      <alignment horizontal="center" vertical="center"/>
    </xf>
    <xf borderId="15" fillId="7" fontId="4" numFmtId="0" xfId="0" applyAlignment="1" applyBorder="1" applyFont="1">
      <alignment horizontal="center" vertical="center"/>
    </xf>
    <xf borderId="15" fillId="8" fontId="4" numFmtId="0" xfId="0" applyAlignment="1" applyBorder="1" applyFont="1">
      <alignment horizontal="center" vertical="center"/>
    </xf>
    <xf borderId="15" fillId="9" fontId="4" numFmtId="0" xfId="0" applyAlignment="1" applyBorder="1" applyFont="1">
      <alignment horizontal="center" vertical="center"/>
    </xf>
    <xf borderId="15" fillId="14" fontId="5" numFmtId="0" xfId="0" applyAlignment="1" applyBorder="1" applyFont="1">
      <alignment horizontal="center" vertical="center"/>
    </xf>
    <xf borderId="15" fillId="12" fontId="4" numFmtId="0" xfId="0" applyAlignment="1" applyBorder="1" applyFont="1">
      <alignment horizontal="center" vertical="center"/>
    </xf>
    <xf borderId="30" fillId="0" fontId="4" numFmtId="166" xfId="0" applyAlignment="1" applyBorder="1" applyFont="1" applyNumberFormat="1">
      <alignment horizontal="center" vertical="center"/>
    </xf>
    <xf borderId="53" fillId="0" fontId="4" numFmtId="0" xfId="0" applyBorder="1" applyFont="1"/>
    <xf borderId="54" fillId="0" fontId="2" numFmtId="166" xfId="0" applyAlignment="1" applyBorder="1" applyFont="1" applyNumberFormat="1">
      <alignment horizontal="center"/>
    </xf>
    <xf borderId="48" fillId="19" fontId="4" numFmtId="0" xfId="0" applyAlignment="1" applyBorder="1" applyFill="1" applyFont="1">
      <alignment horizontal="center"/>
    </xf>
    <xf borderId="49" fillId="0" fontId="9" numFmtId="0" xfId="0" applyBorder="1" applyFont="1"/>
    <xf borderId="55" fillId="0" fontId="9" numFmtId="0" xfId="0" applyBorder="1" applyFont="1"/>
    <xf borderId="56" fillId="20" fontId="18" numFmtId="0" xfId="0" applyAlignment="1" applyBorder="1" applyFill="1" applyFont="1">
      <alignment horizontal="center"/>
    </xf>
    <xf borderId="57" fillId="0" fontId="9" numFmtId="0" xfId="0" applyBorder="1" applyFont="1"/>
    <xf borderId="58" fillId="0" fontId="9" numFmtId="0" xfId="0" applyBorder="1" applyFont="1"/>
    <xf borderId="19" fillId="20" fontId="18" numFmtId="0" xfId="0" applyAlignment="1" applyBorder="1" applyFont="1">
      <alignment horizontal="center"/>
    </xf>
    <xf borderId="18" fillId="13" fontId="5" numFmtId="0" xfId="0" applyAlignment="1" applyBorder="1" applyFont="1">
      <alignment horizontal="center"/>
    </xf>
    <xf borderId="59" fillId="20" fontId="10" numFmtId="0" xfId="0" applyAlignment="1" applyBorder="1" applyFont="1">
      <alignment horizontal="center"/>
    </xf>
    <xf borderId="60" fillId="0" fontId="18" numFmtId="0" xfId="0" applyBorder="1" applyFont="1"/>
    <xf borderId="2" fillId="2" fontId="4" numFmtId="0" xfId="0" applyAlignment="1" applyBorder="1" applyFont="1">
      <alignment horizontal="center"/>
    </xf>
    <xf borderId="4" fillId="3" fontId="4" numFmtId="0" xfId="0" applyAlignment="1" applyBorder="1" applyFont="1">
      <alignment horizontal="center"/>
    </xf>
    <xf borderId="4" fillId="4" fontId="4" numFmtId="0" xfId="0" applyAlignment="1" applyBorder="1" applyFont="1">
      <alignment horizontal="center"/>
    </xf>
    <xf borderId="4" fillId="5" fontId="5" numFmtId="0" xfId="0" applyAlignment="1" applyBorder="1" applyFont="1">
      <alignment horizontal="center"/>
    </xf>
    <xf borderId="4" fillId="6" fontId="4" numFmtId="0" xfId="0" applyAlignment="1" applyBorder="1" applyFont="1">
      <alignment horizontal="center"/>
    </xf>
    <xf borderId="4" fillId="7" fontId="4" numFmtId="0" xfId="0" applyAlignment="1" applyBorder="1" applyFont="1">
      <alignment horizontal="center"/>
    </xf>
    <xf borderId="4" fillId="8" fontId="4" numFmtId="0" xfId="0" applyAlignment="1" applyBorder="1" applyFont="1">
      <alignment horizontal="center"/>
    </xf>
    <xf borderId="4" fillId="9" fontId="4" numFmtId="0" xfId="0" applyAlignment="1" applyBorder="1" applyFont="1">
      <alignment horizontal="center"/>
    </xf>
    <xf borderId="4" fillId="10" fontId="4" numFmtId="0" xfId="0" applyAlignment="1" applyBorder="1" applyFont="1">
      <alignment horizontal="center"/>
    </xf>
    <xf borderId="4" fillId="11" fontId="4" numFmtId="0" xfId="0" applyAlignment="1" applyBorder="1" applyFont="1">
      <alignment horizontal="center"/>
    </xf>
    <xf borderId="4" fillId="12" fontId="4" numFmtId="0" xfId="0" applyAlignment="1" applyBorder="1" applyFont="1">
      <alignment horizontal="center"/>
    </xf>
    <xf borderId="4" fillId="13" fontId="4" numFmtId="0" xfId="0" applyAlignment="1" applyBorder="1" applyFont="1">
      <alignment horizontal="center"/>
    </xf>
    <xf borderId="1" fillId="0" fontId="4" numFmtId="0" xfId="0" applyAlignment="1" applyBorder="1" applyFont="1">
      <alignment horizontal="center"/>
    </xf>
    <xf borderId="1" fillId="0" fontId="4" numFmtId="166" xfId="0" applyAlignment="1" applyBorder="1" applyFont="1" applyNumberFormat="1">
      <alignment horizontal="center"/>
    </xf>
    <xf borderId="61" fillId="0" fontId="9" numFmtId="0" xfId="0" applyBorder="1" applyFont="1"/>
    <xf borderId="62" fillId="2" fontId="2" numFmtId="0" xfId="0" applyAlignment="1" applyBorder="1" applyFont="1">
      <alignment horizontal="center"/>
    </xf>
    <xf borderId="63" fillId="3" fontId="2" numFmtId="0" xfId="0" applyAlignment="1" applyBorder="1" applyFont="1">
      <alignment horizontal="center"/>
    </xf>
    <xf borderId="4" fillId="14" fontId="5" numFmtId="0" xfId="0" applyAlignment="1" applyBorder="1" applyFont="1">
      <alignment horizontal="center"/>
    </xf>
    <xf borderId="4" fillId="0" fontId="4" numFmtId="0" xfId="0" applyAlignment="1" applyBorder="1" applyFont="1">
      <alignment horizontal="center"/>
    </xf>
    <xf borderId="31" fillId="0" fontId="4" numFmtId="166" xfId="0" applyAlignment="1" applyBorder="1" applyFont="1" applyNumberFormat="1">
      <alignment horizontal="center"/>
    </xf>
    <xf borderId="63" fillId="4" fontId="2" numFmtId="0" xfId="0" applyAlignment="1" applyBorder="1" applyFont="1">
      <alignment horizontal="center"/>
    </xf>
    <xf borderId="63" fillId="5" fontId="3" numFmtId="0" xfId="0" applyAlignment="1" applyBorder="1" applyFont="1">
      <alignment horizontal="center"/>
    </xf>
    <xf borderId="63" fillId="6" fontId="2" numFmtId="0" xfId="0" applyAlignment="1" applyBorder="1" applyFont="1">
      <alignment horizontal="center"/>
    </xf>
    <xf borderId="63" fillId="7" fontId="2" numFmtId="0" xfId="0" applyAlignment="1" applyBorder="1" applyFont="1">
      <alignment horizontal="center"/>
    </xf>
    <xf borderId="63" fillId="8" fontId="2" numFmtId="0" xfId="0" applyAlignment="1" applyBorder="1" applyFont="1">
      <alignment horizontal="center"/>
    </xf>
    <xf borderId="63" fillId="9" fontId="2" numFmtId="0" xfId="0" applyAlignment="1" applyBorder="1" applyFont="1">
      <alignment horizontal="center"/>
    </xf>
    <xf borderId="63" fillId="10" fontId="2" numFmtId="0" xfId="0" applyAlignment="1" applyBorder="1" applyFont="1">
      <alignment horizontal="center"/>
    </xf>
    <xf borderId="63" fillId="11" fontId="2" numFmtId="0" xfId="0" applyAlignment="1" applyBorder="1" applyFont="1">
      <alignment horizontal="center"/>
    </xf>
    <xf borderId="63" fillId="12" fontId="2" numFmtId="0" xfId="0" applyAlignment="1" applyBorder="1" applyFont="1">
      <alignment horizontal="center"/>
    </xf>
    <xf borderId="63" fillId="0" fontId="2" numFmtId="0" xfId="0" applyAlignment="1" applyBorder="1" applyFont="1">
      <alignment horizontal="center"/>
    </xf>
    <xf borderId="60" fillId="13" fontId="18" numFmtId="0" xfId="0" applyBorder="1" applyFont="1"/>
    <xf borderId="64" fillId="14" fontId="3" numFmtId="0" xfId="0" applyAlignment="1" applyBorder="1" applyFont="1">
      <alignment horizontal="center"/>
    </xf>
    <xf borderId="18" fillId="13" fontId="18" numFmtId="0" xfId="0" applyBorder="1" applyFont="1"/>
    <xf borderId="1" fillId="14" fontId="5" numFmtId="1" xfId="0" applyAlignment="1" applyBorder="1" applyFont="1" applyNumberFormat="1">
      <alignment horizontal="center"/>
    </xf>
    <xf borderId="1" fillId="4" fontId="33" numFmtId="0" xfId="0" applyAlignment="1" applyBorder="1" applyFont="1">
      <alignment horizontal="center"/>
    </xf>
    <xf borderId="1" fillId="15" fontId="4" numFmtId="0" xfId="0" applyAlignment="1" applyBorder="1" applyFont="1">
      <alignment horizontal="center"/>
    </xf>
    <xf borderId="0" fillId="0" fontId="4" numFmtId="165" xfId="0" applyAlignment="1" applyFont="1" applyNumberFormat="1">
      <alignment horizontal="center"/>
    </xf>
    <xf borderId="31" fillId="14" fontId="5" numFmtId="0" xfId="0" applyAlignment="1" applyBorder="1" applyFont="1">
      <alignment horizontal="center"/>
    </xf>
    <xf borderId="0" fillId="0" fontId="26" numFmtId="0" xfId="0" applyAlignment="1" applyFont="1">
      <alignment horizontal="center"/>
    </xf>
    <xf borderId="48" fillId="0" fontId="4" numFmtId="0" xfId="0" applyAlignment="1" applyBorder="1" applyFont="1">
      <alignment horizontal="left"/>
    </xf>
    <xf borderId="48" fillId="0" fontId="4" numFmtId="0" xfId="0" applyBorder="1" applyFont="1"/>
    <xf borderId="65" fillId="0" fontId="4" numFmtId="0" xfId="0" applyAlignment="1" applyBorder="1" applyFont="1">
      <alignment horizontal="center"/>
    </xf>
    <xf borderId="66" fillId="0" fontId="9" numFmtId="0" xfId="0" applyBorder="1" applyFont="1"/>
    <xf borderId="38" fillId="0" fontId="4" numFmtId="0" xfId="0" applyAlignment="1" applyBorder="1" applyFont="1">
      <alignment horizontal="center"/>
    </xf>
    <xf borderId="67" fillId="0" fontId="4" numFmtId="0" xfId="0" applyAlignment="1" applyBorder="1" applyFont="1">
      <alignment horizontal="center"/>
    </xf>
    <xf borderId="68" fillId="0" fontId="9" numFmtId="0" xfId="0" applyBorder="1" applyFont="1"/>
    <xf borderId="48" fillId="0" fontId="18" numFmtId="0" xfId="0" applyBorder="1" applyFont="1"/>
    <xf borderId="49" fillId="0" fontId="18" numFmtId="0" xfId="0" applyBorder="1" applyFont="1"/>
    <xf borderId="49" fillId="0" fontId="2" numFmtId="166" xfId="0" applyAlignment="1" applyBorder="1" applyFont="1" applyNumberFormat="1">
      <alignment horizontal="center"/>
    </xf>
    <xf borderId="49" fillId="0" fontId="18" numFmtId="0" xfId="0" applyAlignment="1" applyBorder="1" applyFont="1">
      <alignment horizontal="center"/>
    </xf>
    <xf borderId="69" fillId="0" fontId="4" numFmtId="0" xfId="0" applyBorder="1" applyFont="1"/>
    <xf borderId="70" fillId="0" fontId="9" numFmtId="0" xfId="0" applyBorder="1" applyFont="1"/>
    <xf borderId="48" fillId="0" fontId="18" numFmtId="0" xfId="0" applyAlignment="1" applyBorder="1" applyFont="1">
      <alignment horizontal="center"/>
    </xf>
    <xf borderId="71" fillId="0" fontId="4" numFmtId="0" xfId="0" applyBorder="1" applyFont="1"/>
    <xf borderId="72" fillId="0" fontId="9" numFmtId="0" xfId="0" applyBorder="1" applyFont="1"/>
    <xf borderId="73" fillId="0" fontId="9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customschemas.google.com/relationships/workbookmetadata" Target="metadata"/><Relationship Id="rId12" Type="http://schemas.openxmlformats.org/officeDocument/2006/relationships/worksheet" Target="worksheets/sheet9.xml"/></Relationships>
</file>

<file path=xl/drawings/_rels/drawing1.xml.rels><?xml version="1.0" encoding="UTF-8" standalone="yes"?><Relationships xmlns="http://schemas.openxmlformats.org/package/2006/relationships"><Relationship Id="rId20" Type="http://schemas.openxmlformats.org/officeDocument/2006/relationships/image" Target="../media/image18.png"/><Relationship Id="rId11" Type="http://schemas.openxmlformats.org/officeDocument/2006/relationships/image" Target="../media/image20.png"/><Relationship Id="rId10" Type="http://schemas.openxmlformats.org/officeDocument/2006/relationships/image" Target="../media/image8.jpg"/><Relationship Id="rId21" Type="http://schemas.openxmlformats.org/officeDocument/2006/relationships/image" Target="../media/image19.png"/><Relationship Id="rId13" Type="http://schemas.openxmlformats.org/officeDocument/2006/relationships/image" Target="../media/image9.jpg"/><Relationship Id="rId12" Type="http://schemas.openxmlformats.org/officeDocument/2006/relationships/image" Target="../media/image10.jpg"/><Relationship Id="rId1" Type="http://schemas.openxmlformats.org/officeDocument/2006/relationships/image" Target="../media/image5.jpg"/><Relationship Id="rId2" Type="http://schemas.openxmlformats.org/officeDocument/2006/relationships/image" Target="../media/image1.png"/><Relationship Id="rId3" Type="http://schemas.openxmlformats.org/officeDocument/2006/relationships/image" Target="../media/image3.png"/><Relationship Id="rId4" Type="http://schemas.openxmlformats.org/officeDocument/2006/relationships/image" Target="../media/image11.png"/><Relationship Id="rId9" Type="http://schemas.openxmlformats.org/officeDocument/2006/relationships/image" Target="../media/image12.png"/><Relationship Id="rId15" Type="http://schemas.openxmlformats.org/officeDocument/2006/relationships/image" Target="../media/image62.jpg"/><Relationship Id="rId14" Type="http://schemas.openxmlformats.org/officeDocument/2006/relationships/image" Target="../media/image14.png"/><Relationship Id="rId17" Type="http://schemas.openxmlformats.org/officeDocument/2006/relationships/image" Target="../media/image16.jpg"/><Relationship Id="rId16" Type="http://schemas.openxmlformats.org/officeDocument/2006/relationships/image" Target="../media/image7.jpg"/><Relationship Id="rId5" Type="http://schemas.openxmlformats.org/officeDocument/2006/relationships/image" Target="../media/image2.png"/><Relationship Id="rId19" Type="http://schemas.openxmlformats.org/officeDocument/2006/relationships/image" Target="../media/image15.jpg"/><Relationship Id="rId6" Type="http://schemas.openxmlformats.org/officeDocument/2006/relationships/image" Target="../media/image4.png"/><Relationship Id="rId18" Type="http://schemas.openxmlformats.org/officeDocument/2006/relationships/image" Target="../media/image13.jpg"/><Relationship Id="rId7" Type="http://schemas.openxmlformats.org/officeDocument/2006/relationships/image" Target="../media/image6.png"/><Relationship Id="rId8" Type="http://schemas.openxmlformats.org/officeDocument/2006/relationships/image" Target="../media/image17.jpg"/></Relationships>
</file>

<file path=xl/drawings/_rels/drawing2.xml.rels><?xml version="1.0" encoding="UTF-8" standalone="yes"?><Relationships xmlns="http://schemas.openxmlformats.org/package/2006/relationships"><Relationship Id="rId20" Type="http://schemas.openxmlformats.org/officeDocument/2006/relationships/image" Target="../media/image84.png"/><Relationship Id="rId22" Type="http://schemas.openxmlformats.org/officeDocument/2006/relationships/image" Target="../media/image33.png"/><Relationship Id="rId21" Type="http://schemas.openxmlformats.org/officeDocument/2006/relationships/image" Target="../media/image38.png"/><Relationship Id="rId24" Type="http://schemas.openxmlformats.org/officeDocument/2006/relationships/image" Target="../media/image42.png"/><Relationship Id="rId23" Type="http://schemas.openxmlformats.org/officeDocument/2006/relationships/image" Target="../media/image41.png"/><Relationship Id="rId1" Type="http://schemas.openxmlformats.org/officeDocument/2006/relationships/image" Target="../media/image21.jpg"/><Relationship Id="rId2" Type="http://schemas.openxmlformats.org/officeDocument/2006/relationships/image" Target="../media/image22.jpg"/><Relationship Id="rId3" Type="http://schemas.openxmlformats.org/officeDocument/2006/relationships/image" Target="../media/image185.jpg"/><Relationship Id="rId4" Type="http://schemas.openxmlformats.org/officeDocument/2006/relationships/image" Target="../media/image37.png"/><Relationship Id="rId9" Type="http://schemas.openxmlformats.org/officeDocument/2006/relationships/image" Target="../media/image24.png"/><Relationship Id="rId26" Type="http://schemas.openxmlformats.org/officeDocument/2006/relationships/image" Target="../media/image132.png"/><Relationship Id="rId25" Type="http://schemas.openxmlformats.org/officeDocument/2006/relationships/image" Target="../media/image48.png"/><Relationship Id="rId28" Type="http://schemas.openxmlformats.org/officeDocument/2006/relationships/image" Target="../media/image45.png"/><Relationship Id="rId27" Type="http://schemas.openxmlformats.org/officeDocument/2006/relationships/image" Target="../media/image43.png"/><Relationship Id="rId5" Type="http://schemas.openxmlformats.org/officeDocument/2006/relationships/image" Target="../media/image27.png"/><Relationship Id="rId6" Type="http://schemas.openxmlformats.org/officeDocument/2006/relationships/image" Target="../media/image26.png"/><Relationship Id="rId29" Type="http://schemas.openxmlformats.org/officeDocument/2006/relationships/image" Target="../media/image44.png"/><Relationship Id="rId7" Type="http://schemas.openxmlformats.org/officeDocument/2006/relationships/image" Target="../media/image32.png"/><Relationship Id="rId8" Type="http://schemas.openxmlformats.org/officeDocument/2006/relationships/image" Target="../media/image28.png"/><Relationship Id="rId31" Type="http://schemas.openxmlformats.org/officeDocument/2006/relationships/image" Target="../media/image57.png"/><Relationship Id="rId30" Type="http://schemas.openxmlformats.org/officeDocument/2006/relationships/image" Target="../media/image52.png"/><Relationship Id="rId11" Type="http://schemas.openxmlformats.org/officeDocument/2006/relationships/image" Target="../media/image29.jpg"/><Relationship Id="rId33" Type="http://schemas.openxmlformats.org/officeDocument/2006/relationships/image" Target="../media/image56.png"/><Relationship Id="rId10" Type="http://schemas.openxmlformats.org/officeDocument/2006/relationships/image" Target="../media/image25.png"/><Relationship Id="rId32" Type="http://schemas.openxmlformats.org/officeDocument/2006/relationships/image" Target="../media/image61.png"/><Relationship Id="rId13" Type="http://schemas.openxmlformats.org/officeDocument/2006/relationships/image" Target="../media/image39.png"/><Relationship Id="rId12" Type="http://schemas.openxmlformats.org/officeDocument/2006/relationships/image" Target="../media/image34.png"/><Relationship Id="rId15" Type="http://schemas.openxmlformats.org/officeDocument/2006/relationships/image" Target="../media/image40.png"/><Relationship Id="rId14" Type="http://schemas.openxmlformats.org/officeDocument/2006/relationships/image" Target="../media/image31.png"/><Relationship Id="rId17" Type="http://schemas.openxmlformats.org/officeDocument/2006/relationships/image" Target="../media/image35.png"/><Relationship Id="rId16" Type="http://schemas.openxmlformats.org/officeDocument/2006/relationships/image" Target="../media/image30.jpg"/><Relationship Id="rId19" Type="http://schemas.openxmlformats.org/officeDocument/2006/relationships/image" Target="../media/image23.png"/><Relationship Id="rId18" Type="http://schemas.openxmlformats.org/officeDocument/2006/relationships/image" Target="../media/image36.png"/></Relationships>
</file>

<file path=xl/drawings/_rels/drawing3.xml.rels><?xml version="1.0" encoding="UTF-8" standalone="yes"?><Relationships xmlns="http://schemas.openxmlformats.org/package/2006/relationships"><Relationship Id="rId20" Type="http://schemas.openxmlformats.org/officeDocument/2006/relationships/image" Target="../media/image68.png"/><Relationship Id="rId22" Type="http://schemas.openxmlformats.org/officeDocument/2006/relationships/image" Target="../media/image78.png"/><Relationship Id="rId21" Type="http://schemas.openxmlformats.org/officeDocument/2006/relationships/image" Target="../media/image74.png"/><Relationship Id="rId24" Type="http://schemas.openxmlformats.org/officeDocument/2006/relationships/image" Target="../media/image76.png"/><Relationship Id="rId23" Type="http://schemas.openxmlformats.org/officeDocument/2006/relationships/image" Target="../media/image82.png"/><Relationship Id="rId1" Type="http://schemas.openxmlformats.org/officeDocument/2006/relationships/image" Target="../media/image123.png"/><Relationship Id="rId2" Type="http://schemas.openxmlformats.org/officeDocument/2006/relationships/image" Target="../media/image49.png"/><Relationship Id="rId3" Type="http://schemas.openxmlformats.org/officeDocument/2006/relationships/image" Target="../media/image50.png"/><Relationship Id="rId4" Type="http://schemas.openxmlformats.org/officeDocument/2006/relationships/image" Target="../media/image53.png"/><Relationship Id="rId9" Type="http://schemas.openxmlformats.org/officeDocument/2006/relationships/image" Target="../media/image55.png"/><Relationship Id="rId26" Type="http://schemas.openxmlformats.org/officeDocument/2006/relationships/image" Target="../media/image73.png"/><Relationship Id="rId25" Type="http://schemas.openxmlformats.org/officeDocument/2006/relationships/image" Target="../media/image71.jpg"/><Relationship Id="rId28" Type="http://schemas.openxmlformats.org/officeDocument/2006/relationships/image" Target="../media/image77.png"/><Relationship Id="rId27" Type="http://schemas.openxmlformats.org/officeDocument/2006/relationships/image" Target="../media/image66.png"/><Relationship Id="rId5" Type="http://schemas.openxmlformats.org/officeDocument/2006/relationships/image" Target="../media/image54.png"/><Relationship Id="rId6" Type="http://schemas.openxmlformats.org/officeDocument/2006/relationships/image" Target="../media/image46.png"/><Relationship Id="rId29" Type="http://schemas.openxmlformats.org/officeDocument/2006/relationships/image" Target="../media/image67.png"/><Relationship Id="rId7" Type="http://schemas.openxmlformats.org/officeDocument/2006/relationships/image" Target="../media/image51.png"/><Relationship Id="rId8" Type="http://schemas.openxmlformats.org/officeDocument/2006/relationships/image" Target="../media/image47.png"/><Relationship Id="rId31" Type="http://schemas.openxmlformats.org/officeDocument/2006/relationships/image" Target="../media/image80.png"/><Relationship Id="rId30" Type="http://schemas.openxmlformats.org/officeDocument/2006/relationships/image" Target="../media/image72.png"/><Relationship Id="rId11" Type="http://schemas.openxmlformats.org/officeDocument/2006/relationships/image" Target="../media/image58.png"/><Relationship Id="rId33" Type="http://schemas.openxmlformats.org/officeDocument/2006/relationships/image" Target="../media/image75.png"/><Relationship Id="rId10" Type="http://schemas.openxmlformats.org/officeDocument/2006/relationships/image" Target="../media/image59.png"/><Relationship Id="rId32" Type="http://schemas.openxmlformats.org/officeDocument/2006/relationships/image" Target="../media/image81.png"/><Relationship Id="rId13" Type="http://schemas.openxmlformats.org/officeDocument/2006/relationships/image" Target="../media/image60.png"/><Relationship Id="rId35" Type="http://schemas.openxmlformats.org/officeDocument/2006/relationships/image" Target="../media/image83.jpg"/><Relationship Id="rId12" Type="http://schemas.openxmlformats.org/officeDocument/2006/relationships/image" Target="../media/image64.png"/><Relationship Id="rId34" Type="http://schemas.openxmlformats.org/officeDocument/2006/relationships/image" Target="../media/image97.jpg"/><Relationship Id="rId15" Type="http://schemas.openxmlformats.org/officeDocument/2006/relationships/image" Target="../media/image63.png"/><Relationship Id="rId37" Type="http://schemas.openxmlformats.org/officeDocument/2006/relationships/image" Target="../media/image91.png"/><Relationship Id="rId14" Type="http://schemas.openxmlformats.org/officeDocument/2006/relationships/image" Target="../media/image65.png"/><Relationship Id="rId36" Type="http://schemas.openxmlformats.org/officeDocument/2006/relationships/image" Target="../media/image93.png"/><Relationship Id="rId17" Type="http://schemas.openxmlformats.org/officeDocument/2006/relationships/image" Target="../media/image90.png"/><Relationship Id="rId16" Type="http://schemas.openxmlformats.org/officeDocument/2006/relationships/image" Target="../media/image69.png"/><Relationship Id="rId38" Type="http://schemas.openxmlformats.org/officeDocument/2006/relationships/image" Target="../media/image85.png"/><Relationship Id="rId19" Type="http://schemas.openxmlformats.org/officeDocument/2006/relationships/image" Target="../media/image70.png"/><Relationship Id="rId18" Type="http://schemas.openxmlformats.org/officeDocument/2006/relationships/image" Target="../media/image79.png"/></Relationships>
</file>

<file path=xl/drawings/_rels/drawing4.xml.rels><?xml version="1.0" encoding="UTF-8" standalone="yes"?><Relationships xmlns="http://schemas.openxmlformats.org/package/2006/relationships"><Relationship Id="rId20" Type="http://schemas.openxmlformats.org/officeDocument/2006/relationships/image" Target="../media/image109.png"/><Relationship Id="rId22" Type="http://schemas.openxmlformats.org/officeDocument/2006/relationships/image" Target="../media/image128.jpg"/><Relationship Id="rId21" Type="http://schemas.openxmlformats.org/officeDocument/2006/relationships/image" Target="../media/image108.png"/><Relationship Id="rId24" Type="http://schemas.openxmlformats.org/officeDocument/2006/relationships/image" Target="../media/image115.jpg"/><Relationship Id="rId23" Type="http://schemas.openxmlformats.org/officeDocument/2006/relationships/image" Target="../media/image118.jpg"/><Relationship Id="rId1" Type="http://schemas.openxmlformats.org/officeDocument/2006/relationships/image" Target="../media/image94.png"/><Relationship Id="rId2" Type="http://schemas.openxmlformats.org/officeDocument/2006/relationships/image" Target="../media/image86.png"/><Relationship Id="rId3" Type="http://schemas.openxmlformats.org/officeDocument/2006/relationships/image" Target="../media/image87.jpg"/><Relationship Id="rId4" Type="http://schemas.openxmlformats.org/officeDocument/2006/relationships/image" Target="../media/image89.jpg"/><Relationship Id="rId9" Type="http://schemas.openxmlformats.org/officeDocument/2006/relationships/image" Target="../media/image99.png"/><Relationship Id="rId26" Type="http://schemas.openxmlformats.org/officeDocument/2006/relationships/image" Target="../media/image111.jpg"/><Relationship Id="rId25" Type="http://schemas.openxmlformats.org/officeDocument/2006/relationships/image" Target="../media/image120.jpg"/><Relationship Id="rId28" Type="http://schemas.openxmlformats.org/officeDocument/2006/relationships/image" Target="../media/image117.jpg"/><Relationship Id="rId27" Type="http://schemas.openxmlformats.org/officeDocument/2006/relationships/image" Target="../media/image107.jpg"/><Relationship Id="rId5" Type="http://schemas.openxmlformats.org/officeDocument/2006/relationships/image" Target="../media/image88.jpg"/><Relationship Id="rId6" Type="http://schemas.openxmlformats.org/officeDocument/2006/relationships/image" Target="../media/image92.jpg"/><Relationship Id="rId29" Type="http://schemas.openxmlformats.org/officeDocument/2006/relationships/image" Target="../media/image110.jpg"/><Relationship Id="rId7" Type="http://schemas.openxmlformats.org/officeDocument/2006/relationships/image" Target="../media/image98.jpg"/><Relationship Id="rId8" Type="http://schemas.openxmlformats.org/officeDocument/2006/relationships/image" Target="../media/image105.jpg"/><Relationship Id="rId11" Type="http://schemas.openxmlformats.org/officeDocument/2006/relationships/image" Target="../media/image100.png"/><Relationship Id="rId10" Type="http://schemas.openxmlformats.org/officeDocument/2006/relationships/image" Target="../media/image95.png"/><Relationship Id="rId13" Type="http://schemas.openxmlformats.org/officeDocument/2006/relationships/image" Target="../media/image106.jpg"/><Relationship Id="rId12" Type="http://schemas.openxmlformats.org/officeDocument/2006/relationships/image" Target="../media/image96.png"/><Relationship Id="rId15" Type="http://schemas.openxmlformats.org/officeDocument/2006/relationships/image" Target="../media/image101.png"/><Relationship Id="rId14" Type="http://schemas.openxmlformats.org/officeDocument/2006/relationships/image" Target="../media/image102.jpg"/><Relationship Id="rId17" Type="http://schemas.openxmlformats.org/officeDocument/2006/relationships/image" Target="../media/image113.jpg"/><Relationship Id="rId16" Type="http://schemas.openxmlformats.org/officeDocument/2006/relationships/image" Target="../media/image103.png"/><Relationship Id="rId19" Type="http://schemas.openxmlformats.org/officeDocument/2006/relationships/image" Target="../media/image112.jpg"/><Relationship Id="rId18" Type="http://schemas.openxmlformats.org/officeDocument/2006/relationships/image" Target="../media/image104.jpg"/></Relationships>
</file>

<file path=xl/drawings/_rels/drawing5.xml.rels><?xml version="1.0" encoding="UTF-8" standalone="yes"?><Relationships xmlns="http://schemas.openxmlformats.org/package/2006/relationships"><Relationship Id="rId20" Type="http://schemas.openxmlformats.org/officeDocument/2006/relationships/image" Target="../media/image137.jpg"/><Relationship Id="rId22" Type="http://schemas.openxmlformats.org/officeDocument/2006/relationships/image" Target="../media/image133.png"/><Relationship Id="rId21" Type="http://schemas.openxmlformats.org/officeDocument/2006/relationships/image" Target="../media/image146.jpg"/><Relationship Id="rId24" Type="http://schemas.openxmlformats.org/officeDocument/2006/relationships/image" Target="../media/image145.png"/><Relationship Id="rId23" Type="http://schemas.openxmlformats.org/officeDocument/2006/relationships/image" Target="../media/image138.png"/><Relationship Id="rId1" Type="http://schemas.openxmlformats.org/officeDocument/2006/relationships/image" Target="../media/image119.jpg"/><Relationship Id="rId2" Type="http://schemas.openxmlformats.org/officeDocument/2006/relationships/image" Target="../media/image114.jpg"/><Relationship Id="rId3" Type="http://schemas.openxmlformats.org/officeDocument/2006/relationships/image" Target="../media/image116.jpg"/><Relationship Id="rId4" Type="http://schemas.openxmlformats.org/officeDocument/2006/relationships/image" Target="../media/image125.jpg"/><Relationship Id="rId9" Type="http://schemas.openxmlformats.org/officeDocument/2006/relationships/image" Target="../media/image130.png"/><Relationship Id="rId26" Type="http://schemas.openxmlformats.org/officeDocument/2006/relationships/image" Target="../media/image142.png"/><Relationship Id="rId25" Type="http://schemas.openxmlformats.org/officeDocument/2006/relationships/image" Target="../media/image144.png"/><Relationship Id="rId28" Type="http://schemas.openxmlformats.org/officeDocument/2006/relationships/image" Target="../media/image143.png"/><Relationship Id="rId27" Type="http://schemas.openxmlformats.org/officeDocument/2006/relationships/image" Target="../media/image141.png"/><Relationship Id="rId5" Type="http://schemas.openxmlformats.org/officeDocument/2006/relationships/image" Target="../media/image121.jpg"/><Relationship Id="rId6" Type="http://schemas.openxmlformats.org/officeDocument/2006/relationships/image" Target="../media/image122.jpg"/><Relationship Id="rId29" Type="http://schemas.openxmlformats.org/officeDocument/2006/relationships/image" Target="../media/image148.png"/><Relationship Id="rId7" Type="http://schemas.openxmlformats.org/officeDocument/2006/relationships/image" Target="../media/image124.jpg"/><Relationship Id="rId8" Type="http://schemas.openxmlformats.org/officeDocument/2006/relationships/image" Target="../media/image149.jpg"/><Relationship Id="rId11" Type="http://schemas.openxmlformats.org/officeDocument/2006/relationships/image" Target="../media/image126.jpg"/><Relationship Id="rId10" Type="http://schemas.openxmlformats.org/officeDocument/2006/relationships/image" Target="../media/image127.png"/><Relationship Id="rId13" Type="http://schemas.openxmlformats.org/officeDocument/2006/relationships/image" Target="../media/image136.jpg"/><Relationship Id="rId12" Type="http://schemas.openxmlformats.org/officeDocument/2006/relationships/image" Target="../media/image129.jpg"/><Relationship Id="rId15" Type="http://schemas.openxmlformats.org/officeDocument/2006/relationships/image" Target="../media/image201.jpg"/><Relationship Id="rId14" Type="http://schemas.openxmlformats.org/officeDocument/2006/relationships/image" Target="../media/image135.jpg"/><Relationship Id="rId17" Type="http://schemas.openxmlformats.org/officeDocument/2006/relationships/image" Target="../media/image131.jpg"/><Relationship Id="rId16" Type="http://schemas.openxmlformats.org/officeDocument/2006/relationships/image" Target="../media/image134.jpg"/><Relationship Id="rId19" Type="http://schemas.openxmlformats.org/officeDocument/2006/relationships/image" Target="../media/image140.jpg"/><Relationship Id="rId18" Type="http://schemas.openxmlformats.org/officeDocument/2006/relationships/image" Target="../media/image139.jp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47.jpg"/><Relationship Id="rId2" Type="http://schemas.openxmlformats.org/officeDocument/2006/relationships/image" Target="../media/image154.jpg"/><Relationship Id="rId3" Type="http://schemas.openxmlformats.org/officeDocument/2006/relationships/image" Target="../media/image157.jpg"/><Relationship Id="rId4" Type="http://schemas.openxmlformats.org/officeDocument/2006/relationships/image" Target="../media/image155.jpg"/><Relationship Id="rId9" Type="http://schemas.openxmlformats.org/officeDocument/2006/relationships/image" Target="../media/image153.png"/><Relationship Id="rId5" Type="http://schemas.openxmlformats.org/officeDocument/2006/relationships/image" Target="../media/image161.jpg"/><Relationship Id="rId6" Type="http://schemas.openxmlformats.org/officeDocument/2006/relationships/image" Target="../media/image156.jpg"/><Relationship Id="rId7" Type="http://schemas.openxmlformats.org/officeDocument/2006/relationships/image" Target="../media/image150.png"/><Relationship Id="rId8" Type="http://schemas.openxmlformats.org/officeDocument/2006/relationships/image" Target="../media/image151.png"/><Relationship Id="rId11" Type="http://schemas.openxmlformats.org/officeDocument/2006/relationships/image" Target="../media/image159.jpg"/><Relationship Id="rId10" Type="http://schemas.openxmlformats.org/officeDocument/2006/relationships/image" Target="../media/image166.jpg"/><Relationship Id="rId12" Type="http://schemas.openxmlformats.org/officeDocument/2006/relationships/image" Target="../media/image164.jpg"/></Relationships>
</file>

<file path=xl/drawings/_rels/drawing7.xml.rels><?xml version="1.0" encoding="UTF-8" standalone="yes"?><Relationships xmlns="http://schemas.openxmlformats.org/package/2006/relationships"><Relationship Id="rId20" Type="http://schemas.openxmlformats.org/officeDocument/2006/relationships/image" Target="../media/image175.png"/><Relationship Id="rId22" Type="http://schemas.openxmlformats.org/officeDocument/2006/relationships/image" Target="../media/image180.png"/><Relationship Id="rId21" Type="http://schemas.openxmlformats.org/officeDocument/2006/relationships/image" Target="../media/image176.png"/><Relationship Id="rId24" Type="http://schemas.openxmlformats.org/officeDocument/2006/relationships/image" Target="../media/image184.png"/><Relationship Id="rId23" Type="http://schemas.openxmlformats.org/officeDocument/2006/relationships/image" Target="../media/image182.png"/><Relationship Id="rId1" Type="http://schemas.openxmlformats.org/officeDocument/2006/relationships/image" Target="../media/image152.png"/><Relationship Id="rId2" Type="http://schemas.openxmlformats.org/officeDocument/2006/relationships/image" Target="../media/image171.png"/><Relationship Id="rId3" Type="http://schemas.openxmlformats.org/officeDocument/2006/relationships/image" Target="../media/image160.png"/><Relationship Id="rId4" Type="http://schemas.openxmlformats.org/officeDocument/2006/relationships/image" Target="../media/image226.png"/><Relationship Id="rId9" Type="http://schemas.openxmlformats.org/officeDocument/2006/relationships/image" Target="../media/image167.png"/><Relationship Id="rId26" Type="http://schemas.openxmlformats.org/officeDocument/2006/relationships/image" Target="../media/image187.png"/><Relationship Id="rId25" Type="http://schemas.openxmlformats.org/officeDocument/2006/relationships/image" Target="../media/image196.png"/><Relationship Id="rId28" Type="http://schemas.openxmlformats.org/officeDocument/2006/relationships/image" Target="../media/image191.png"/><Relationship Id="rId27" Type="http://schemas.openxmlformats.org/officeDocument/2006/relationships/image" Target="../media/image186.png"/><Relationship Id="rId5" Type="http://schemas.openxmlformats.org/officeDocument/2006/relationships/image" Target="../media/image165.png"/><Relationship Id="rId6" Type="http://schemas.openxmlformats.org/officeDocument/2006/relationships/image" Target="../media/image158.png"/><Relationship Id="rId29" Type="http://schemas.openxmlformats.org/officeDocument/2006/relationships/image" Target="../media/image189.png"/><Relationship Id="rId7" Type="http://schemas.openxmlformats.org/officeDocument/2006/relationships/image" Target="../media/image173.png"/><Relationship Id="rId8" Type="http://schemas.openxmlformats.org/officeDocument/2006/relationships/image" Target="../media/image163.png"/><Relationship Id="rId11" Type="http://schemas.openxmlformats.org/officeDocument/2006/relationships/image" Target="../media/image162.png"/><Relationship Id="rId10" Type="http://schemas.openxmlformats.org/officeDocument/2006/relationships/image" Target="../media/image170.png"/><Relationship Id="rId13" Type="http://schemas.openxmlformats.org/officeDocument/2006/relationships/image" Target="../media/image181.png"/><Relationship Id="rId12" Type="http://schemas.openxmlformats.org/officeDocument/2006/relationships/image" Target="../media/image169.png"/><Relationship Id="rId15" Type="http://schemas.openxmlformats.org/officeDocument/2006/relationships/image" Target="../media/image168.png"/><Relationship Id="rId14" Type="http://schemas.openxmlformats.org/officeDocument/2006/relationships/image" Target="../media/image174.png"/><Relationship Id="rId17" Type="http://schemas.openxmlformats.org/officeDocument/2006/relationships/image" Target="../media/image179.png"/><Relationship Id="rId16" Type="http://schemas.openxmlformats.org/officeDocument/2006/relationships/image" Target="../media/image178.png"/><Relationship Id="rId19" Type="http://schemas.openxmlformats.org/officeDocument/2006/relationships/image" Target="../media/image177.png"/><Relationship Id="rId18" Type="http://schemas.openxmlformats.org/officeDocument/2006/relationships/image" Target="../media/image172.png"/></Relationships>
</file>

<file path=xl/drawings/_rels/drawing8.xml.rels><?xml version="1.0" encoding="UTF-8" standalone="yes"?><Relationships xmlns="http://schemas.openxmlformats.org/package/2006/relationships"><Relationship Id="rId20" Type="http://schemas.openxmlformats.org/officeDocument/2006/relationships/image" Target="../media/image206.png"/><Relationship Id="rId22" Type="http://schemas.openxmlformats.org/officeDocument/2006/relationships/image" Target="../media/image211.png"/><Relationship Id="rId21" Type="http://schemas.openxmlformats.org/officeDocument/2006/relationships/image" Target="../media/image213.png"/><Relationship Id="rId24" Type="http://schemas.openxmlformats.org/officeDocument/2006/relationships/image" Target="../media/image209.png"/><Relationship Id="rId23" Type="http://schemas.openxmlformats.org/officeDocument/2006/relationships/image" Target="../media/image212.png"/><Relationship Id="rId1" Type="http://schemas.openxmlformats.org/officeDocument/2006/relationships/image" Target="../media/image192.png"/><Relationship Id="rId2" Type="http://schemas.openxmlformats.org/officeDocument/2006/relationships/image" Target="../media/image220.png"/><Relationship Id="rId3" Type="http://schemas.openxmlformats.org/officeDocument/2006/relationships/image" Target="../media/image183.png"/><Relationship Id="rId4" Type="http://schemas.openxmlformats.org/officeDocument/2006/relationships/image" Target="../media/image190.png"/><Relationship Id="rId9" Type="http://schemas.openxmlformats.org/officeDocument/2006/relationships/image" Target="../media/image199.png"/><Relationship Id="rId26" Type="http://schemas.openxmlformats.org/officeDocument/2006/relationships/image" Target="../media/image217.png"/><Relationship Id="rId25" Type="http://schemas.openxmlformats.org/officeDocument/2006/relationships/image" Target="../media/image222.png"/><Relationship Id="rId28" Type="http://schemas.openxmlformats.org/officeDocument/2006/relationships/image" Target="../media/image214.png"/><Relationship Id="rId27" Type="http://schemas.openxmlformats.org/officeDocument/2006/relationships/image" Target="../media/image210.png"/><Relationship Id="rId5" Type="http://schemas.openxmlformats.org/officeDocument/2006/relationships/image" Target="../media/image188.png"/><Relationship Id="rId6" Type="http://schemas.openxmlformats.org/officeDocument/2006/relationships/image" Target="../media/image193.png"/><Relationship Id="rId29" Type="http://schemas.openxmlformats.org/officeDocument/2006/relationships/image" Target="../media/image216.png"/><Relationship Id="rId7" Type="http://schemas.openxmlformats.org/officeDocument/2006/relationships/image" Target="../media/image194.png"/><Relationship Id="rId8" Type="http://schemas.openxmlformats.org/officeDocument/2006/relationships/image" Target="../media/image195.png"/><Relationship Id="rId31" Type="http://schemas.openxmlformats.org/officeDocument/2006/relationships/image" Target="../media/image215.png"/><Relationship Id="rId30" Type="http://schemas.openxmlformats.org/officeDocument/2006/relationships/image" Target="../media/image218.png"/><Relationship Id="rId11" Type="http://schemas.openxmlformats.org/officeDocument/2006/relationships/image" Target="../media/image197.png"/><Relationship Id="rId33" Type="http://schemas.openxmlformats.org/officeDocument/2006/relationships/image" Target="../media/image221.png"/><Relationship Id="rId10" Type="http://schemas.openxmlformats.org/officeDocument/2006/relationships/image" Target="../media/image202.png"/><Relationship Id="rId32" Type="http://schemas.openxmlformats.org/officeDocument/2006/relationships/image" Target="../media/image224.png"/><Relationship Id="rId13" Type="http://schemas.openxmlformats.org/officeDocument/2006/relationships/image" Target="../media/image208.png"/><Relationship Id="rId35" Type="http://schemas.openxmlformats.org/officeDocument/2006/relationships/image" Target="../media/image225.png"/><Relationship Id="rId12" Type="http://schemas.openxmlformats.org/officeDocument/2006/relationships/image" Target="../media/image198.png"/><Relationship Id="rId34" Type="http://schemas.openxmlformats.org/officeDocument/2006/relationships/image" Target="../media/image223.png"/><Relationship Id="rId15" Type="http://schemas.openxmlformats.org/officeDocument/2006/relationships/image" Target="../media/image219.png"/><Relationship Id="rId14" Type="http://schemas.openxmlformats.org/officeDocument/2006/relationships/image" Target="../media/image203.png"/><Relationship Id="rId17" Type="http://schemas.openxmlformats.org/officeDocument/2006/relationships/image" Target="../media/image205.png"/><Relationship Id="rId16" Type="http://schemas.openxmlformats.org/officeDocument/2006/relationships/image" Target="../media/image200.png"/><Relationship Id="rId19" Type="http://schemas.openxmlformats.org/officeDocument/2006/relationships/image" Target="../media/image207.png"/><Relationship Id="rId18" Type="http://schemas.openxmlformats.org/officeDocument/2006/relationships/image" Target="../media/image204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47625</xdr:colOff>
      <xdr:row>5</xdr:row>
      <xdr:rowOff>28575</xdr:rowOff>
    </xdr:from>
    <xdr:ext cx="1114425" cy="1095375"/>
    <xdr:pic>
      <xdr:nvPicPr>
        <xdr:cNvPr id="0" name="image5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25</xdr:row>
      <xdr:rowOff>47625</xdr:rowOff>
    </xdr:from>
    <xdr:ext cx="1057275" cy="1114425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9</xdr:row>
      <xdr:rowOff>104775</xdr:rowOff>
    </xdr:from>
    <xdr:ext cx="1066800" cy="1104900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6</xdr:row>
      <xdr:rowOff>38100</xdr:rowOff>
    </xdr:from>
    <xdr:ext cx="1066800" cy="1104900"/>
    <xdr:pic>
      <xdr:nvPicPr>
        <xdr:cNvPr id="0" name="image11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14</xdr:row>
      <xdr:rowOff>47625</xdr:rowOff>
    </xdr:from>
    <xdr:ext cx="1066800" cy="1123950"/>
    <xdr:pic>
      <xdr:nvPicPr>
        <xdr:cNvPr id="0" name="image2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7</xdr:row>
      <xdr:rowOff>104775</xdr:rowOff>
    </xdr:from>
    <xdr:ext cx="1057275" cy="1095375"/>
    <xdr:pic>
      <xdr:nvPicPr>
        <xdr:cNvPr id="0" name="image4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1162050" cy="1266825"/>
    <xdr:pic>
      <xdr:nvPicPr>
        <xdr:cNvPr id="0" name="image6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123950" cy="1266825"/>
    <xdr:pic>
      <xdr:nvPicPr>
        <xdr:cNvPr id="0" name="image17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209675" cy="1266825"/>
    <xdr:pic>
      <xdr:nvPicPr>
        <xdr:cNvPr id="0" name="image12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1209675" cy="1266825"/>
    <xdr:pic>
      <xdr:nvPicPr>
        <xdr:cNvPr id="0" name="image8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181100" cy="1266825"/>
    <xdr:pic>
      <xdr:nvPicPr>
        <xdr:cNvPr id="0" name="image20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171575" cy="1266825"/>
    <xdr:pic>
      <xdr:nvPicPr>
        <xdr:cNvPr id="0" name="image10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209675" cy="1266825"/>
    <xdr:pic>
      <xdr:nvPicPr>
        <xdr:cNvPr id="0" name="image9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171575" cy="1266825"/>
    <xdr:pic>
      <xdr:nvPicPr>
        <xdr:cNvPr id="0" name="image14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209675" cy="1266825"/>
    <xdr:pic>
      <xdr:nvPicPr>
        <xdr:cNvPr id="0" name="image62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209675" cy="1266825"/>
    <xdr:pic>
      <xdr:nvPicPr>
        <xdr:cNvPr id="0" name="image7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190625" cy="1266825"/>
    <xdr:pic>
      <xdr:nvPicPr>
        <xdr:cNvPr id="0" name="image16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209675" cy="1266825"/>
    <xdr:pic>
      <xdr:nvPicPr>
        <xdr:cNvPr id="0" name="image13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1209675" cy="1266825"/>
    <xdr:pic>
      <xdr:nvPicPr>
        <xdr:cNvPr id="0" name="image15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1266825" cy="1266825"/>
    <xdr:pic>
      <xdr:nvPicPr>
        <xdr:cNvPr id="0" name="image18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1266825" cy="1266825"/>
    <xdr:pic>
      <xdr:nvPicPr>
        <xdr:cNvPr id="0" name="image19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28575</xdr:colOff>
      <xdr:row>7</xdr:row>
      <xdr:rowOff>28575</xdr:rowOff>
    </xdr:from>
    <xdr:ext cx="1143000" cy="1143000"/>
    <xdr:pic>
      <xdr:nvPicPr>
        <xdr:cNvPr id="0" name="image2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16</xdr:row>
      <xdr:rowOff>28575</xdr:rowOff>
    </xdr:from>
    <xdr:ext cx="1143000" cy="1143000"/>
    <xdr:pic>
      <xdr:nvPicPr>
        <xdr:cNvPr id="0" name="image2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7</xdr:row>
      <xdr:rowOff>38100</xdr:rowOff>
    </xdr:from>
    <xdr:ext cx="1143000" cy="1143000"/>
    <xdr:pic>
      <xdr:nvPicPr>
        <xdr:cNvPr id="0" name="image2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16</xdr:row>
      <xdr:rowOff>38100</xdr:rowOff>
    </xdr:from>
    <xdr:ext cx="1143000" cy="1143000"/>
    <xdr:pic>
      <xdr:nvPicPr>
        <xdr:cNvPr id="0" name="image2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7</xdr:row>
      <xdr:rowOff>76200</xdr:rowOff>
    </xdr:from>
    <xdr:ext cx="1438275" cy="1495425"/>
    <xdr:pic>
      <xdr:nvPicPr>
        <xdr:cNvPr id="0" name="image185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1104900</xdr:colOff>
      <xdr:row>29</xdr:row>
      <xdr:rowOff>76200</xdr:rowOff>
    </xdr:from>
    <xdr:ext cx="1447800" cy="1524000"/>
    <xdr:pic>
      <xdr:nvPicPr>
        <xdr:cNvPr id="0" name="image37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</xdr:row>
      <xdr:rowOff>0</xdr:rowOff>
    </xdr:from>
    <xdr:ext cx="1552575" cy="1552575"/>
    <xdr:pic>
      <xdr:nvPicPr>
        <xdr:cNvPr id="0" name="image27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1552575" cy="1619250"/>
    <xdr:pic>
      <xdr:nvPicPr>
        <xdr:cNvPr id="0" name="image26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1552575" cy="1552575"/>
    <xdr:pic>
      <xdr:nvPicPr>
        <xdr:cNvPr id="0" name="image32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1552575" cy="1552575"/>
    <xdr:pic>
      <xdr:nvPicPr>
        <xdr:cNvPr id="0" name="image28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0</xdr:rowOff>
    </xdr:from>
    <xdr:ext cx="1552575" cy="1552575"/>
    <xdr:pic>
      <xdr:nvPicPr>
        <xdr:cNvPr id="0" name="image24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552575" cy="1628775"/>
    <xdr:pic>
      <xdr:nvPicPr>
        <xdr:cNvPr id="0" name="image25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552575" cy="1438275"/>
    <xdr:pic>
      <xdr:nvPicPr>
        <xdr:cNvPr id="0" name="image29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1552575" cy="1552575"/>
    <xdr:pic>
      <xdr:nvPicPr>
        <xdr:cNvPr id="0" name="image34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552575" cy="1552575"/>
    <xdr:pic>
      <xdr:nvPicPr>
        <xdr:cNvPr id="0" name="image39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552575" cy="1552575"/>
    <xdr:pic>
      <xdr:nvPicPr>
        <xdr:cNvPr id="0" name="image31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552575" cy="1628775"/>
    <xdr:pic>
      <xdr:nvPicPr>
        <xdr:cNvPr id="0" name="image40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552575" cy="1381125"/>
    <xdr:pic>
      <xdr:nvPicPr>
        <xdr:cNvPr id="0" name="image30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552575" cy="1628775"/>
    <xdr:pic>
      <xdr:nvPicPr>
        <xdr:cNvPr id="0" name="image35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552575" cy="1552575"/>
    <xdr:pic>
      <xdr:nvPicPr>
        <xdr:cNvPr id="0" name="image36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552575" cy="1638300"/>
    <xdr:pic>
      <xdr:nvPicPr>
        <xdr:cNvPr id="0" name="image23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552575" cy="1552575"/>
    <xdr:pic>
      <xdr:nvPicPr>
        <xdr:cNvPr id="0" name="image84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552575" cy="1552575"/>
    <xdr:pic>
      <xdr:nvPicPr>
        <xdr:cNvPr id="0" name="image38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552575" cy="1323975"/>
    <xdr:pic>
      <xdr:nvPicPr>
        <xdr:cNvPr id="0" name="image33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552575" cy="1600200"/>
    <xdr:pic>
      <xdr:nvPicPr>
        <xdr:cNvPr id="0" name="image41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1552575" cy="1619250"/>
    <xdr:pic>
      <xdr:nvPicPr>
        <xdr:cNvPr id="0" name="image42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1552575" cy="1619250"/>
    <xdr:pic>
      <xdr:nvPicPr>
        <xdr:cNvPr id="0" name="image48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1552575" cy="1485900"/>
    <xdr:pic>
      <xdr:nvPicPr>
        <xdr:cNvPr id="0" name="image132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1533525" cy="1647825"/>
    <xdr:pic>
      <xdr:nvPicPr>
        <xdr:cNvPr id="0" name="image43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1552575" cy="1628775"/>
    <xdr:pic>
      <xdr:nvPicPr>
        <xdr:cNvPr id="0" name="image45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30</xdr:row>
      <xdr:rowOff>0</xdr:rowOff>
    </xdr:from>
    <xdr:ext cx="1552575" cy="1552575"/>
    <xdr:pic>
      <xdr:nvPicPr>
        <xdr:cNvPr id="0" name="image44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</xdr:row>
      <xdr:rowOff>0</xdr:rowOff>
    </xdr:from>
    <xdr:ext cx="1552575" cy="1552575"/>
    <xdr:pic>
      <xdr:nvPicPr>
        <xdr:cNvPr id="0" name="image52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0</xdr:rowOff>
    </xdr:from>
    <xdr:ext cx="1552575" cy="1552575"/>
    <xdr:pic>
      <xdr:nvPicPr>
        <xdr:cNvPr id="0" name="image57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33</xdr:row>
      <xdr:rowOff>0</xdr:rowOff>
    </xdr:from>
    <xdr:ext cx="1552575" cy="1552575"/>
    <xdr:pic>
      <xdr:nvPicPr>
        <xdr:cNvPr id="0" name="image61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34</xdr:row>
      <xdr:rowOff>0</xdr:rowOff>
    </xdr:from>
    <xdr:ext cx="1552575" cy="1628775"/>
    <xdr:pic>
      <xdr:nvPicPr>
        <xdr:cNvPr id="0" name="image56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47625</xdr:colOff>
      <xdr:row>33</xdr:row>
      <xdr:rowOff>95250</xdr:rowOff>
    </xdr:from>
    <xdr:ext cx="1104900" cy="1104900"/>
    <xdr:pic>
      <xdr:nvPicPr>
        <xdr:cNvPr id="0" name="image12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9</xdr:row>
      <xdr:rowOff>47625</xdr:rowOff>
    </xdr:from>
    <xdr:ext cx="1133475" cy="1190625"/>
    <xdr:pic>
      <xdr:nvPicPr>
        <xdr:cNvPr id="0" name="image49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10</xdr:row>
      <xdr:rowOff>57150</xdr:rowOff>
    </xdr:from>
    <xdr:ext cx="1123950" cy="1133475"/>
    <xdr:pic>
      <xdr:nvPicPr>
        <xdr:cNvPr id="0" name="image50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16</xdr:row>
      <xdr:rowOff>38100</xdr:rowOff>
    </xdr:from>
    <xdr:ext cx="1133475" cy="1162050"/>
    <xdr:pic>
      <xdr:nvPicPr>
        <xdr:cNvPr id="0" name="image53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17</xdr:row>
      <xdr:rowOff>76200</xdr:rowOff>
    </xdr:from>
    <xdr:ext cx="1104900" cy="1133475"/>
    <xdr:pic>
      <xdr:nvPicPr>
        <xdr:cNvPr id="0" name="image54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41</xdr:row>
      <xdr:rowOff>66675</xdr:rowOff>
    </xdr:from>
    <xdr:ext cx="1143000" cy="1133475"/>
    <xdr:pic>
      <xdr:nvPicPr>
        <xdr:cNvPr id="0" name="image46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1247775" cy="1266825"/>
    <xdr:pic>
      <xdr:nvPicPr>
        <xdr:cNvPr id="0" name="image51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1266825" cy="1266825"/>
    <xdr:pic>
      <xdr:nvPicPr>
        <xdr:cNvPr id="0" name="image47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1266825" cy="1266825"/>
    <xdr:pic>
      <xdr:nvPicPr>
        <xdr:cNvPr id="0" name="image55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266825" cy="1266825"/>
    <xdr:pic>
      <xdr:nvPicPr>
        <xdr:cNvPr id="0" name="image59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1219200" cy="1266825"/>
    <xdr:pic>
      <xdr:nvPicPr>
        <xdr:cNvPr id="0" name="image58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266825" cy="1266825"/>
    <xdr:pic>
      <xdr:nvPicPr>
        <xdr:cNvPr id="0" name="image64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266825" cy="1162050"/>
    <xdr:pic>
      <xdr:nvPicPr>
        <xdr:cNvPr id="0" name="image60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200150" cy="1266825"/>
    <xdr:pic>
      <xdr:nvPicPr>
        <xdr:cNvPr id="0" name="image65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266825" cy="1266825"/>
    <xdr:pic>
      <xdr:nvPicPr>
        <xdr:cNvPr id="0" name="image63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266825" cy="1266825"/>
    <xdr:pic>
      <xdr:nvPicPr>
        <xdr:cNvPr id="0" name="image69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1266825" cy="1266825"/>
    <xdr:pic>
      <xdr:nvPicPr>
        <xdr:cNvPr id="0" name="image90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1266825" cy="1266825"/>
    <xdr:pic>
      <xdr:nvPicPr>
        <xdr:cNvPr id="0" name="image79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1209675" cy="1266825"/>
    <xdr:pic>
      <xdr:nvPicPr>
        <xdr:cNvPr id="0" name="image70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1266825" cy="1266825"/>
    <xdr:pic>
      <xdr:nvPicPr>
        <xdr:cNvPr id="0" name="image68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1247775" cy="1266825"/>
    <xdr:pic>
      <xdr:nvPicPr>
        <xdr:cNvPr id="0" name="image74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29</xdr:row>
      <xdr:rowOff>0</xdr:rowOff>
    </xdr:from>
    <xdr:ext cx="1266825" cy="1266825"/>
    <xdr:pic>
      <xdr:nvPicPr>
        <xdr:cNvPr id="0" name="image78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30</xdr:row>
      <xdr:rowOff>0</xdr:rowOff>
    </xdr:from>
    <xdr:ext cx="1238250" cy="1266825"/>
    <xdr:pic>
      <xdr:nvPicPr>
        <xdr:cNvPr id="0" name="image82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</xdr:row>
      <xdr:rowOff>0</xdr:rowOff>
    </xdr:from>
    <xdr:ext cx="1209675" cy="1266825"/>
    <xdr:pic>
      <xdr:nvPicPr>
        <xdr:cNvPr id="0" name="image76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0</xdr:rowOff>
    </xdr:from>
    <xdr:ext cx="1266825" cy="1266825"/>
    <xdr:pic>
      <xdr:nvPicPr>
        <xdr:cNvPr id="0" name="image71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34</xdr:row>
      <xdr:rowOff>0</xdr:rowOff>
    </xdr:from>
    <xdr:ext cx="1247775" cy="1266825"/>
    <xdr:pic>
      <xdr:nvPicPr>
        <xdr:cNvPr id="0" name="image73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35</xdr:row>
      <xdr:rowOff>0</xdr:rowOff>
    </xdr:from>
    <xdr:ext cx="1266825" cy="1266825"/>
    <xdr:pic>
      <xdr:nvPicPr>
        <xdr:cNvPr id="0" name="image66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36</xdr:row>
      <xdr:rowOff>0</xdr:rowOff>
    </xdr:from>
    <xdr:ext cx="1266825" cy="1266825"/>
    <xdr:pic>
      <xdr:nvPicPr>
        <xdr:cNvPr id="0" name="image77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37</xdr:row>
      <xdr:rowOff>0</xdr:rowOff>
    </xdr:from>
    <xdr:ext cx="1266825" cy="1266825"/>
    <xdr:pic>
      <xdr:nvPicPr>
        <xdr:cNvPr id="0" name="image67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38</xdr:row>
      <xdr:rowOff>0</xdr:rowOff>
    </xdr:from>
    <xdr:ext cx="1266825" cy="1266825"/>
    <xdr:pic>
      <xdr:nvPicPr>
        <xdr:cNvPr id="0" name="image72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39</xdr:row>
      <xdr:rowOff>0</xdr:rowOff>
    </xdr:from>
    <xdr:ext cx="1266825" cy="1266825"/>
    <xdr:pic>
      <xdr:nvPicPr>
        <xdr:cNvPr id="0" name="image80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40</xdr:row>
      <xdr:rowOff>0</xdr:rowOff>
    </xdr:from>
    <xdr:ext cx="1247775" cy="1266825"/>
    <xdr:pic>
      <xdr:nvPicPr>
        <xdr:cNvPr id="0" name="image81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42</xdr:row>
      <xdr:rowOff>0</xdr:rowOff>
    </xdr:from>
    <xdr:ext cx="1209675" cy="1266825"/>
    <xdr:pic>
      <xdr:nvPicPr>
        <xdr:cNvPr id="0" name="image75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43</xdr:row>
      <xdr:rowOff>0</xdr:rowOff>
    </xdr:from>
    <xdr:ext cx="1181100" cy="1266825"/>
    <xdr:pic>
      <xdr:nvPicPr>
        <xdr:cNvPr id="0" name="image97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44</xdr:row>
      <xdr:rowOff>0</xdr:rowOff>
    </xdr:from>
    <xdr:ext cx="1209675" cy="1266825"/>
    <xdr:pic>
      <xdr:nvPicPr>
        <xdr:cNvPr id="0" name="image83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45</xdr:row>
      <xdr:rowOff>0</xdr:rowOff>
    </xdr:from>
    <xdr:ext cx="1266825" cy="1266825"/>
    <xdr:pic>
      <xdr:nvPicPr>
        <xdr:cNvPr id="0" name="image93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46</xdr:row>
      <xdr:rowOff>0</xdr:rowOff>
    </xdr:from>
    <xdr:ext cx="1266825" cy="1266825"/>
    <xdr:pic>
      <xdr:nvPicPr>
        <xdr:cNvPr id="0" name="image91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47</xdr:row>
      <xdr:rowOff>0</xdr:rowOff>
    </xdr:from>
    <xdr:ext cx="1266825" cy="1266825"/>
    <xdr:pic>
      <xdr:nvPicPr>
        <xdr:cNvPr id="0" name="image85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47625</xdr:colOff>
      <xdr:row>35</xdr:row>
      <xdr:rowOff>47625</xdr:rowOff>
    </xdr:from>
    <xdr:ext cx="1066800" cy="1104900"/>
    <xdr:pic>
      <xdr:nvPicPr>
        <xdr:cNvPr id="0" name="image9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36</xdr:row>
      <xdr:rowOff>47625</xdr:rowOff>
    </xdr:from>
    <xdr:ext cx="1066800" cy="1123950"/>
    <xdr:pic>
      <xdr:nvPicPr>
        <xdr:cNvPr id="0" name="image86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</xdr:row>
      <xdr:rowOff>0</xdr:rowOff>
    </xdr:from>
    <xdr:ext cx="1114425" cy="1162050"/>
    <xdr:pic>
      <xdr:nvPicPr>
        <xdr:cNvPr id="0" name="image87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1114425" cy="876300"/>
    <xdr:pic>
      <xdr:nvPicPr>
        <xdr:cNvPr id="0" name="image89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1114425" cy="1000125"/>
    <xdr:pic>
      <xdr:nvPicPr>
        <xdr:cNvPr id="0" name="image8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1114425" cy="971550"/>
    <xdr:pic>
      <xdr:nvPicPr>
        <xdr:cNvPr id="0" name="image92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1114425" cy="1066800"/>
    <xdr:pic>
      <xdr:nvPicPr>
        <xdr:cNvPr id="0" name="image98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0</xdr:rowOff>
    </xdr:from>
    <xdr:ext cx="1114425" cy="1114425"/>
    <xdr:pic>
      <xdr:nvPicPr>
        <xdr:cNvPr id="0" name="image105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114425" cy="1143000"/>
    <xdr:pic>
      <xdr:nvPicPr>
        <xdr:cNvPr id="0" name="image99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114425" cy="1152525"/>
    <xdr:pic>
      <xdr:nvPicPr>
        <xdr:cNvPr id="0" name="image95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1114425" cy="1143000"/>
    <xdr:pic>
      <xdr:nvPicPr>
        <xdr:cNvPr id="0" name="image100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114425" cy="1143000"/>
    <xdr:pic>
      <xdr:nvPicPr>
        <xdr:cNvPr id="0" name="image96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114425" cy="1114425"/>
    <xdr:pic>
      <xdr:nvPicPr>
        <xdr:cNvPr id="0" name="image106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114425" cy="1181100"/>
    <xdr:pic>
      <xdr:nvPicPr>
        <xdr:cNvPr id="0" name="image102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114425" cy="1114425"/>
    <xdr:pic>
      <xdr:nvPicPr>
        <xdr:cNvPr id="0" name="image101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114425" cy="1114425"/>
    <xdr:pic>
      <xdr:nvPicPr>
        <xdr:cNvPr id="0" name="image103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114425" cy="962025"/>
    <xdr:pic>
      <xdr:nvPicPr>
        <xdr:cNvPr id="0" name="image113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114425" cy="923925"/>
    <xdr:pic>
      <xdr:nvPicPr>
        <xdr:cNvPr id="0" name="image104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114425" cy="1181100"/>
    <xdr:pic>
      <xdr:nvPicPr>
        <xdr:cNvPr id="0" name="image112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114425" cy="1114425"/>
    <xdr:pic>
      <xdr:nvPicPr>
        <xdr:cNvPr id="0" name="image109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114425" cy="1114425"/>
    <xdr:pic>
      <xdr:nvPicPr>
        <xdr:cNvPr id="0" name="image108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1114425" cy="1143000"/>
    <xdr:pic>
      <xdr:nvPicPr>
        <xdr:cNvPr id="0" name="image128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29</xdr:row>
      <xdr:rowOff>0</xdr:rowOff>
    </xdr:from>
    <xdr:ext cx="1114425" cy="1143000"/>
    <xdr:pic>
      <xdr:nvPicPr>
        <xdr:cNvPr id="0" name="image118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30</xdr:row>
      <xdr:rowOff>0</xdr:rowOff>
    </xdr:from>
    <xdr:ext cx="1114425" cy="1162050"/>
    <xdr:pic>
      <xdr:nvPicPr>
        <xdr:cNvPr id="0" name="image115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</xdr:row>
      <xdr:rowOff>0</xdr:rowOff>
    </xdr:from>
    <xdr:ext cx="1114425" cy="876300"/>
    <xdr:pic>
      <xdr:nvPicPr>
        <xdr:cNvPr id="0" name="image120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0</xdr:rowOff>
    </xdr:from>
    <xdr:ext cx="1114425" cy="1143000"/>
    <xdr:pic>
      <xdr:nvPicPr>
        <xdr:cNvPr id="0" name="image111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33</xdr:row>
      <xdr:rowOff>0</xdr:rowOff>
    </xdr:from>
    <xdr:ext cx="1114425" cy="1181100"/>
    <xdr:pic>
      <xdr:nvPicPr>
        <xdr:cNvPr id="0" name="image107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34</xdr:row>
      <xdr:rowOff>0</xdr:rowOff>
    </xdr:from>
    <xdr:ext cx="1114425" cy="1181100"/>
    <xdr:pic>
      <xdr:nvPicPr>
        <xdr:cNvPr id="0" name="image117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37</xdr:row>
      <xdr:rowOff>0</xdr:rowOff>
    </xdr:from>
    <xdr:ext cx="1114425" cy="1000125"/>
    <xdr:pic>
      <xdr:nvPicPr>
        <xdr:cNvPr id="0" name="image110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0</xdr:colOff>
      <xdr:row>4</xdr:row>
      <xdr:rowOff>0</xdr:rowOff>
    </xdr:from>
    <xdr:ext cx="1114425" cy="1162050"/>
    <xdr:pic>
      <xdr:nvPicPr>
        <xdr:cNvPr id="0" name="image119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1114425" cy="1143000"/>
    <xdr:pic>
      <xdr:nvPicPr>
        <xdr:cNvPr id="0" name="image114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1114425" cy="1181100"/>
    <xdr:pic>
      <xdr:nvPicPr>
        <xdr:cNvPr id="0" name="image116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1114425" cy="1162050"/>
    <xdr:pic>
      <xdr:nvPicPr>
        <xdr:cNvPr id="0" name="image125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1114425" cy="1143000"/>
    <xdr:pic>
      <xdr:nvPicPr>
        <xdr:cNvPr id="0" name="image121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0</xdr:rowOff>
    </xdr:from>
    <xdr:ext cx="1114425" cy="771525"/>
    <xdr:pic>
      <xdr:nvPicPr>
        <xdr:cNvPr id="0" name="image122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114425" cy="1171575"/>
    <xdr:pic>
      <xdr:nvPicPr>
        <xdr:cNvPr id="0" name="image124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114425" cy="1162050"/>
    <xdr:pic>
      <xdr:nvPicPr>
        <xdr:cNvPr id="0" name="image149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1114425" cy="1181100"/>
    <xdr:pic>
      <xdr:nvPicPr>
        <xdr:cNvPr id="0" name="image130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114425" cy="1162050"/>
    <xdr:pic>
      <xdr:nvPicPr>
        <xdr:cNvPr id="0" name="image127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114425" cy="1133475"/>
    <xdr:pic>
      <xdr:nvPicPr>
        <xdr:cNvPr id="0" name="image126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114425" cy="1162050"/>
    <xdr:pic>
      <xdr:nvPicPr>
        <xdr:cNvPr id="0" name="image129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114425" cy="771525"/>
    <xdr:pic>
      <xdr:nvPicPr>
        <xdr:cNvPr id="0" name="image136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114425" cy="790575"/>
    <xdr:pic>
      <xdr:nvPicPr>
        <xdr:cNvPr id="0" name="image135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114425" cy="771525"/>
    <xdr:pic>
      <xdr:nvPicPr>
        <xdr:cNvPr id="0" name="image201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114425" cy="771525"/>
    <xdr:pic>
      <xdr:nvPicPr>
        <xdr:cNvPr id="0" name="image134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114425" cy="1114425"/>
    <xdr:pic>
      <xdr:nvPicPr>
        <xdr:cNvPr id="0" name="image131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114425" cy="1162050"/>
    <xdr:pic>
      <xdr:nvPicPr>
        <xdr:cNvPr id="0" name="image139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114425" cy="1162050"/>
    <xdr:pic>
      <xdr:nvPicPr>
        <xdr:cNvPr id="0" name="image140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114425" cy="1143000"/>
    <xdr:pic>
      <xdr:nvPicPr>
        <xdr:cNvPr id="0" name="image137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1114425" cy="1162050"/>
    <xdr:pic>
      <xdr:nvPicPr>
        <xdr:cNvPr id="0" name="image146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1114425" cy="1114425"/>
    <xdr:pic>
      <xdr:nvPicPr>
        <xdr:cNvPr id="0" name="image133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1114425" cy="1114425"/>
    <xdr:pic>
      <xdr:nvPicPr>
        <xdr:cNvPr id="0" name="image138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1114425" cy="1114425"/>
    <xdr:pic>
      <xdr:nvPicPr>
        <xdr:cNvPr id="0" name="image145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1114425" cy="1114425"/>
    <xdr:pic>
      <xdr:nvPicPr>
        <xdr:cNvPr id="0" name="image144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29</xdr:row>
      <xdr:rowOff>0</xdr:rowOff>
    </xdr:from>
    <xdr:ext cx="1114425" cy="1114425"/>
    <xdr:pic>
      <xdr:nvPicPr>
        <xdr:cNvPr id="0" name="image142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30</xdr:row>
      <xdr:rowOff>0</xdr:rowOff>
    </xdr:from>
    <xdr:ext cx="1114425" cy="1114425"/>
    <xdr:pic>
      <xdr:nvPicPr>
        <xdr:cNvPr id="0" name="image141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</xdr:row>
      <xdr:rowOff>0</xdr:rowOff>
    </xdr:from>
    <xdr:ext cx="1114425" cy="1162050"/>
    <xdr:pic>
      <xdr:nvPicPr>
        <xdr:cNvPr id="0" name="image143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0</xdr:rowOff>
    </xdr:from>
    <xdr:ext cx="1114425" cy="1114425"/>
    <xdr:pic>
      <xdr:nvPicPr>
        <xdr:cNvPr id="0" name="image148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47625</xdr:colOff>
      <xdr:row>4</xdr:row>
      <xdr:rowOff>66675</xdr:rowOff>
    </xdr:from>
    <xdr:ext cx="1171575" cy="1219200"/>
    <xdr:pic>
      <xdr:nvPicPr>
        <xdr:cNvPr id="0" name="image14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1276350" cy="1390650"/>
    <xdr:pic>
      <xdr:nvPicPr>
        <xdr:cNvPr id="0" name="image154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1295400" cy="1362075"/>
    <xdr:pic>
      <xdr:nvPicPr>
        <xdr:cNvPr id="0" name="image157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1295400" cy="1371600"/>
    <xdr:pic>
      <xdr:nvPicPr>
        <xdr:cNvPr id="0" name="image155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1295400" cy="1343025"/>
    <xdr:pic>
      <xdr:nvPicPr>
        <xdr:cNvPr id="0" name="image161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0</xdr:rowOff>
    </xdr:from>
    <xdr:ext cx="1295400" cy="1362075"/>
    <xdr:pic>
      <xdr:nvPicPr>
        <xdr:cNvPr id="0" name="image156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295400" cy="1295400"/>
    <xdr:pic>
      <xdr:nvPicPr>
        <xdr:cNvPr id="0" name="image150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295400" cy="1295400"/>
    <xdr:pic>
      <xdr:nvPicPr>
        <xdr:cNvPr id="0" name="image151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1295400" cy="1295400"/>
    <xdr:pic>
      <xdr:nvPicPr>
        <xdr:cNvPr id="0" name="image153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295400" cy="1362075"/>
    <xdr:pic>
      <xdr:nvPicPr>
        <xdr:cNvPr id="0" name="image166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295400" cy="1362075"/>
    <xdr:pic>
      <xdr:nvPicPr>
        <xdr:cNvPr id="0" name="image159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295400" cy="1381125"/>
    <xdr:pic>
      <xdr:nvPicPr>
        <xdr:cNvPr id="0" name="image164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47625</xdr:colOff>
      <xdr:row>12</xdr:row>
      <xdr:rowOff>47625</xdr:rowOff>
    </xdr:from>
    <xdr:ext cx="1143000" cy="1200150"/>
    <xdr:pic>
      <xdr:nvPicPr>
        <xdr:cNvPr id="0" name="image15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13</xdr:row>
      <xdr:rowOff>57150</xdr:rowOff>
    </xdr:from>
    <xdr:ext cx="1123950" cy="1181100"/>
    <xdr:pic>
      <xdr:nvPicPr>
        <xdr:cNvPr id="0" name="image17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17</xdr:row>
      <xdr:rowOff>57150</xdr:rowOff>
    </xdr:from>
    <xdr:ext cx="1133475" cy="1133475"/>
    <xdr:pic>
      <xdr:nvPicPr>
        <xdr:cNvPr id="0" name="image160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19</xdr:row>
      <xdr:rowOff>28575</xdr:rowOff>
    </xdr:from>
    <xdr:ext cx="1143000" cy="1152525"/>
    <xdr:pic>
      <xdr:nvPicPr>
        <xdr:cNvPr id="0" name="image226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20</xdr:row>
      <xdr:rowOff>47625</xdr:rowOff>
    </xdr:from>
    <xdr:ext cx="1123950" cy="1152525"/>
    <xdr:pic>
      <xdr:nvPicPr>
        <xdr:cNvPr id="0" name="image165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1266825" cy="1266825"/>
    <xdr:pic>
      <xdr:nvPicPr>
        <xdr:cNvPr id="0" name="image158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1247775" cy="1266825"/>
    <xdr:pic>
      <xdr:nvPicPr>
        <xdr:cNvPr id="0" name="image173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257300" cy="1266825"/>
    <xdr:pic>
      <xdr:nvPicPr>
        <xdr:cNvPr id="0" name="image163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257300" cy="1266825"/>
    <xdr:pic>
      <xdr:nvPicPr>
        <xdr:cNvPr id="0" name="image167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266825" cy="1266825"/>
    <xdr:pic>
      <xdr:nvPicPr>
        <xdr:cNvPr id="0" name="image170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266825" cy="1266825"/>
    <xdr:pic>
      <xdr:nvPicPr>
        <xdr:cNvPr id="0" name="image162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266825" cy="1266825"/>
    <xdr:pic>
      <xdr:nvPicPr>
        <xdr:cNvPr id="0" name="image169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266825" cy="1266825"/>
    <xdr:pic>
      <xdr:nvPicPr>
        <xdr:cNvPr id="0" name="image181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266825" cy="1266825"/>
    <xdr:pic>
      <xdr:nvPicPr>
        <xdr:cNvPr id="0" name="image174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266825" cy="1266825"/>
    <xdr:pic>
      <xdr:nvPicPr>
        <xdr:cNvPr id="0" name="image168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1266825" cy="1266825"/>
    <xdr:pic>
      <xdr:nvPicPr>
        <xdr:cNvPr id="0" name="image178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1266825" cy="1266825"/>
    <xdr:pic>
      <xdr:nvPicPr>
        <xdr:cNvPr id="0" name="image179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1266825" cy="1266825"/>
    <xdr:pic>
      <xdr:nvPicPr>
        <xdr:cNvPr id="0" name="image172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1257300" cy="1257300"/>
    <xdr:pic>
      <xdr:nvPicPr>
        <xdr:cNvPr id="0" name="image177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29</xdr:row>
      <xdr:rowOff>0</xdr:rowOff>
    </xdr:from>
    <xdr:ext cx="1266825" cy="1266825"/>
    <xdr:pic>
      <xdr:nvPicPr>
        <xdr:cNvPr id="0" name="image175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30</xdr:row>
      <xdr:rowOff>0</xdr:rowOff>
    </xdr:from>
    <xdr:ext cx="1266825" cy="1266825"/>
    <xdr:pic>
      <xdr:nvPicPr>
        <xdr:cNvPr id="0" name="image176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</xdr:row>
      <xdr:rowOff>0</xdr:rowOff>
    </xdr:from>
    <xdr:ext cx="1266825" cy="1266825"/>
    <xdr:pic>
      <xdr:nvPicPr>
        <xdr:cNvPr id="0" name="image180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34</xdr:row>
      <xdr:rowOff>0</xdr:rowOff>
    </xdr:from>
    <xdr:ext cx="1266825" cy="1266825"/>
    <xdr:pic>
      <xdr:nvPicPr>
        <xdr:cNvPr id="0" name="image182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35</xdr:row>
      <xdr:rowOff>0</xdr:rowOff>
    </xdr:from>
    <xdr:ext cx="1266825" cy="1266825"/>
    <xdr:pic>
      <xdr:nvPicPr>
        <xdr:cNvPr id="0" name="image184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36</xdr:row>
      <xdr:rowOff>0</xdr:rowOff>
    </xdr:from>
    <xdr:ext cx="1266825" cy="1266825"/>
    <xdr:pic>
      <xdr:nvPicPr>
        <xdr:cNvPr id="0" name="image196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37</xdr:row>
      <xdr:rowOff>0</xdr:rowOff>
    </xdr:from>
    <xdr:ext cx="1266825" cy="1266825"/>
    <xdr:pic>
      <xdr:nvPicPr>
        <xdr:cNvPr id="0" name="image187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38</xdr:row>
      <xdr:rowOff>0</xdr:rowOff>
    </xdr:from>
    <xdr:ext cx="1266825" cy="1266825"/>
    <xdr:pic>
      <xdr:nvPicPr>
        <xdr:cNvPr id="0" name="image186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39</xdr:row>
      <xdr:rowOff>0</xdr:rowOff>
    </xdr:from>
    <xdr:ext cx="1266825" cy="1266825"/>
    <xdr:pic>
      <xdr:nvPicPr>
        <xdr:cNvPr id="0" name="image191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42</xdr:row>
      <xdr:rowOff>0</xdr:rowOff>
    </xdr:from>
    <xdr:ext cx="1266825" cy="1266825"/>
    <xdr:pic>
      <xdr:nvPicPr>
        <xdr:cNvPr id="0" name="image189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57150</xdr:colOff>
      <xdr:row>35</xdr:row>
      <xdr:rowOff>38100</xdr:rowOff>
    </xdr:from>
    <xdr:ext cx="1047750" cy="1038225"/>
    <xdr:pic>
      <xdr:nvPicPr>
        <xdr:cNvPr id="0" name="image19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36</xdr:row>
      <xdr:rowOff>57150</xdr:rowOff>
    </xdr:from>
    <xdr:ext cx="1038225" cy="1047750"/>
    <xdr:pic>
      <xdr:nvPicPr>
        <xdr:cNvPr id="0" name="image22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46</xdr:row>
      <xdr:rowOff>38100</xdr:rowOff>
    </xdr:from>
    <xdr:ext cx="1038225" cy="1047750"/>
    <xdr:pic>
      <xdr:nvPicPr>
        <xdr:cNvPr id="0" name="image18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34</xdr:row>
      <xdr:rowOff>57150</xdr:rowOff>
    </xdr:from>
    <xdr:ext cx="1047750" cy="1076325"/>
    <xdr:pic>
      <xdr:nvPicPr>
        <xdr:cNvPr id="0" name="image190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43</xdr:row>
      <xdr:rowOff>47625</xdr:rowOff>
    </xdr:from>
    <xdr:ext cx="1047750" cy="1047750"/>
    <xdr:pic>
      <xdr:nvPicPr>
        <xdr:cNvPr id="0" name="image188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1085850" cy="1085850"/>
    <xdr:pic>
      <xdr:nvPicPr>
        <xdr:cNvPr id="0" name="image193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1085850" cy="1085850"/>
    <xdr:pic>
      <xdr:nvPicPr>
        <xdr:cNvPr id="0" name="image194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0</xdr:rowOff>
    </xdr:from>
    <xdr:ext cx="1085850" cy="1028700"/>
    <xdr:pic>
      <xdr:nvPicPr>
        <xdr:cNvPr id="0" name="image195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085850" cy="1019175"/>
    <xdr:pic>
      <xdr:nvPicPr>
        <xdr:cNvPr id="0" name="image199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085850" cy="1085850"/>
    <xdr:pic>
      <xdr:nvPicPr>
        <xdr:cNvPr id="0" name="image202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1085850" cy="1057275"/>
    <xdr:pic>
      <xdr:nvPicPr>
        <xdr:cNvPr id="0" name="image197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095375" cy="1095375"/>
    <xdr:pic>
      <xdr:nvPicPr>
        <xdr:cNvPr id="0" name="image198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085850" cy="1009650"/>
    <xdr:pic>
      <xdr:nvPicPr>
        <xdr:cNvPr id="0" name="image208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085850" cy="1085850"/>
    <xdr:pic>
      <xdr:nvPicPr>
        <xdr:cNvPr id="0" name="image203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095375" cy="1095375"/>
    <xdr:pic>
      <xdr:nvPicPr>
        <xdr:cNvPr id="0" name="image219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095375" cy="1095375"/>
    <xdr:pic>
      <xdr:nvPicPr>
        <xdr:cNvPr id="0" name="image200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095375" cy="1095375"/>
    <xdr:pic>
      <xdr:nvPicPr>
        <xdr:cNvPr id="0" name="image205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085850" cy="1057275"/>
    <xdr:pic>
      <xdr:nvPicPr>
        <xdr:cNvPr id="0" name="image204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095375" cy="1095375"/>
    <xdr:pic>
      <xdr:nvPicPr>
        <xdr:cNvPr id="0" name="image207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085850" cy="1028700"/>
    <xdr:pic>
      <xdr:nvPicPr>
        <xdr:cNvPr id="0" name="image206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1095375" cy="1057275"/>
    <xdr:pic>
      <xdr:nvPicPr>
        <xdr:cNvPr id="0" name="image213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1085850" cy="1085850"/>
    <xdr:pic>
      <xdr:nvPicPr>
        <xdr:cNvPr id="0" name="image211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1085850" cy="1085850"/>
    <xdr:pic>
      <xdr:nvPicPr>
        <xdr:cNvPr id="0" name="image212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29</xdr:row>
      <xdr:rowOff>0</xdr:rowOff>
    </xdr:from>
    <xdr:ext cx="1085850" cy="1085850"/>
    <xdr:pic>
      <xdr:nvPicPr>
        <xdr:cNvPr id="0" name="image209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30</xdr:row>
      <xdr:rowOff>0</xdr:rowOff>
    </xdr:from>
    <xdr:ext cx="1095375" cy="1057275"/>
    <xdr:pic>
      <xdr:nvPicPr>
        <xdr:cNvPr id="0" name="image222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</xdr:row>
      <xdr:rowOff>0</xdr:rowOff>
    </xdr:from>
    <xdr:ext cx="1085850" cy="1085850"/>
    <xdr:pic>
      <xdr:nvPicPr>
        <xdr:cNvPr id="0" name="image217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0</xdr:rowOff>
    </xdr:from>
    <xdr:ext cx="1047750" cy="1143000"/>
    <xdr:pic>
      <xdr:nvPicPr>
        <xdr:cNvPr id="0" name="image210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33</xdr:row>
      <xdr:rowOff>0</xdr:rowOff>
    </xdr:from>
    <xdr:ext cx="1076325" cy="1143000"/>
    <xdr:pic>
      <xdr:nvPicPr>
        <xdr:cNvPr id="0" name="image214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37</xdr:row>
      <xdr:rowOff>0</xdr:rowOff>
    </xdr:from>
    <xdr:ext cx="1047750" cy="1143000"/>
    <xdr:pic>
      <xdr:nvPicPr>
        <xdr:cNvPr id="0" name="image216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39</xdr:row>
      <xdr:rowOff>0</xdr:rowOff>
    </xdr:from>
    <xdr:ext cx="1085850" cy="1085850"/>
    <xdr:pic>
      <xdr:nvPicPr>
        <xdr:cNvPr id="0" name="image218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40</xdr:row>
      <xdr:rowOff>0</xdr:rowOff>
    </xdr:from>
    <xdr:ext cx="1066800" cy="1143000"/>
    <xdr:pic>
      <xdr:nvPicPr>
        <xdr:cNvPr id="0" name="image215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41</xdr:row>
      <xdr:rowOff>0</xdr:rowOff>
    </xdr:from>
    <xdr:ext cx="1095375" cy="1095375"/>
    <xdr:pic>
      <xdr:nvPicPr>
        <xdr:cNvPr id="0" name="image224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42</xdr:row>
      <xdr:rowOff>0</xdr:rowOff>
    </xdr:from>
    <xdr:ext cx="1076325" cy="1143000"/>
    <xdr:pic>
      <xdr:nvPicPr>
        <xdr:cNvPr id="0" name="image221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44</xdr:row>
      <xdr:rowOff>0</xdr:rowOff>
    </xdr:from>
    <xdr:ext cx="1095375" cy="1114425"/>
    <xdr:pic>
      <xdr:nvPicPr>
        <xdr:cNvPr id="0" name="image223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45</xdr:row>
      <xdr:rowOff>0</xdr:rowOff>
    </xdr:from>
    <xdr:ext cx="1085850" cy="1085850"/>
    <xdr:pic>
      <xdr:nvPicPr>
        <xdr:cNvPr id="0" name="image225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3.29"/>
    <col customWidth="1" min="3" max="3" width="19.29"/>
    <col customWidth="1" min="4" max="4" width="11.14"/>
    <col customWidth="1" min="5" max="5" width="9.14"/>
    <col customWidth="1" min="6" max="6" width="11.29"/>
    <col customWidth="1" min="7" max="22" width="9.14"/>
    <col customWidth="1" min="23" max="23" width="11.71"/>
  </cols>
  <sheetData>
    <row r="2">
      <c r="B2" s="1" t="s">
        <v>0</v>
      </c>
    </row>
    <row r="3" ht="34.5" customHeight="1">
      <c r="G3" s="2" t="s">
        <v>1</v>
      </c>
      <c r="H3" s="3" t="s">
        <v>2</v>
      </c>
      <c r="I3" s="4" t="s">
        <v>3</v>
      </c>
      <c r="J3" s="5" t="s">
        <v>4</v>
      </c>
      <c r="K3" s="6" t="s">
        <v>5</v>
      </c>
      <c r="L3" s="7" t="s">
        <v>6</v>
      </c>
      <c r="M3" s="8" t="s">
        <v>7</v>
      </c>
      <c r="N3" s="9" t="s">
        <v>8</v>
      </c>
      <c r="O3" s="10" t="s">
        <v>9</v>
      </c>
      <c r="P3" s="11" t="s">
        <v>10</v>
      </c>
      <c r="Q3" s="12" t="s">
        <v>11</v>
      </c>
      <c r="R3" s="13" t="s">
        <v>12</v>
      </c>
      <c r="S3" s="14" t="s">
        <v>13</v>
      </c>
    </row>
    <row r="4">
      <c r="B4" s="15" t="s">
        <v>14</v>
      </c>
      <c r="C4" s="16" t="s">
        <v>15</v>
      </c>
      <c r="D4" s="17" t="s">
        <v>16</v>
      </c>
      <c r="E4" s="17" t="s">
        <v>17</v>
      </c>
      <c r="F4" s="18" t="s">
        <v>18</v>
      </c>
      <c r="G4" s="19">
        <v>2.0</v>
      </c>
      <c r="H4" s="20">
        <v>5.0</v>
      </c>
      <c r="I4" s="21">
        <v>7.0</v>
      </c>
      <c r="J4" s="22">
        <v>10.0</v>
      </c>
      <c r="K4" s="23">
        <v>11.0</v>
      </c>
      <c r="L4" s="24">
        <v>12.0</v>
      </c>
      <c r="M4" s="25">
        <v>13.0</v>
      </c>
      <c r="N4" s="26">
        <v>16.0</v>
      </c>
      <c r="O4" s="27">
        <v>69.0</v>
      </c>
      <c r="P4" s="28">
        <v>76.0</v>
      </c>
      <c r="Q4" s="29">
        <v>77.0</v>
      </c>
      <c r="R4" s="30">
        <v>79.0</v>
      </c>
      <c r="S4" s="31">
        <v>81.0</v>
      </c>
      <c r="T4" s="32" t="s">
        <v>19</v>
      </c>
      <c r="U4" s="32" t="s">
        <v>20</v>
      </c>
      <c r="V4" s="32" t="s">
        <v>21</v>
      </c>
      <c r="W4" s="33" t="s">
        <v>22</v>
      </c>
    </row>
    <row r="5">
      <c r="B5" s="34"/>
      <c r="C5" s="34"/>
      <c r="D5" s="34"/>
      <c r="E5" s="34"/>
      <c r="F5" s="35"/>
      <c r="G5" s="36"/>
      <c r="H5" s="36"/>
      <c r="I5" s="36"/>
      <c r="J5" s="37"/>
      <c r="K5" s="36"/>
      <c r="L5" s="36"/>
      <c r="M5" s="36"/>
      <c r="N5" s="36"/>
      <c r="O5" s="36"/>
      <c r="P5" s="36"/>
      <c r="Q5" s="36"/>
      <c r="R5" s="36"/>
      <c r="S5" s="37"/>
      <c r="T5" s="36"/>
      <c r="U5" s="36"/>
      <c r="V5" s="36"/>
      <c r="W5" s="38"/>
    </row>
    <row r="6" ht="99.75" customHeight="1">
      <c r="B6" s="39" t="s">
        <v>23</v>
      </c>
      <c r="C6" s="40"/>
      <c r="D6" s="41">
        <v>15.0</v>
      </c>
      <c r="E6" s="41" t="s">
        <v>24</v>
      </c>
      <c r="F6" s="42">
        <v>51.0</v>
      </c>
      <c r="G6" s="43"/>
      <c r="H6" s="44"/>
      <c r="I6" s="45"/>
      <c r="J6" s="46"/>
      <c r="K6" s="47"/>
      <c r="L6" s="48"/>
      <c r="M6" s="49"/>
      <c r="N6" s="50"/>
      <c r="O6" s="51"/>
      <c r="P6" s="52"/>
      <c r="Q6" s="53"/>
      <c r="R6" s="54"/>
      <c r="S6" s="55"/>
      <c r="T6" s="56">
        <f t="shared" ref="T6:T16" si="1">SUM(G6:S6)</f>
        <v>0</v>
      </c>
      <c r="U6" s="56">
        <f t="shared" ref="U6:U16" si="2">D6*T6</f>
        <v>0</v>
      </c>
      <c r="V6" s="56">
        <f>T6*0.28</f>
        <v>0</v>
      </c>
      <c r="W6" s="57">
        <f t="shared" ref="W6:W7" si="3">F6*T6</f>
        <v>0</v>
      </c>
    </row>
    <row r="7" ht="99.75" customHeight="1">
      <c r="B7" s="39" t="s">
        <v>25</v>
      </c>
      <c r="C7" s="40"/>
      <c r="D7" s="41">
        <v>10.0</v>
      </c>
      <c r="E7" s="41" t="s">
        <v>26</v>
      </c>
      <c r="F7" s="42">
        <v>60.0</v>
      </c>
      <c r="G7" s="43"/>
      <c r="H7" s="44"/>
      <c r="I7" s="45"/>
      <c r="J7" s="46"/>
      <c r="K7" s="47"/>
      <c r="L7" s="48"/>
      <c r="M7" s="49"/>
      <c r="N7" s="50"/>
      <c r="O7" s="51"/>
      <c r="P7" s="52"/>
      <c r="Q7" s="53"/>
      <c r="R7" s="54"/>
      <c r="S7" s="55"/>
      <c r="T7" s="56">
        <f t="shared" si="1"/>
        <v>0</v>
      </c>
      <c r="U7" s="56">
        <f t="shared" si="2"/>
        <v>0</v>
      </c>
      <c r="V7" s="56">
        <f>T7*0.77</f>
        <v>0</v>
      </c>
      <c r="W7" s="57">
        <f t="shared" si="3"/>
        <v>0</v>
      </c>
    </row>
    <row r="8" ht="99.75" customHeight="1">
      <c r="B8" s="39" t="s">
        <v>27</v>
      </c>
      <c r="C8" s="40"/>
      <c r="D8" s="41">
        <v>5.0</v>
      </c>
      <c r="E8" s="41" t="s">
        <v>28</v>
      </c>
      <c r="F8" s="42">
        <v>39.0</v>
      </c>
      <c r="G8" s="43"/>
      <c r="H8" s="44"/>
      <c r="I8" s="45"/>
      <c r="J8" s="46"/>
      <c r="K8" s="47"/>
      <c r="L8" s="48"/>
      <c r="M8" s="49"/>
      <c r="N8" s="50"/>
      <c r="O8" s="51"/>
      <c r="P8" s="52"/>
      <c r="Q8" s="53"/>
      <c r="R8" s="54"/>
      <c r="S8" s="55"/>
      <c r="T8" s="56">
        <f t="shared" si="1"/>
        <v>0</v>
      </c>
      <c r="U8" s="56">
        <f t="shared" si="2"/>
        <v>0</v>
      </c>
      <c r="V8" s="56">
        <f>T8*0.6</f>
        <v>0</v>
      </c>
      <c r="W8" s="57">
        <f>T8*F8</f>
        <v>0</v>
      </c>
    </row>
    <row r="9" ht="99.75" customHeight="1">
      <c r="B9" s="39" t="s">
        <v>29</v>
      </c>
      <c r="C9" s="40"/>
      <c r="D9" s="41">
        <v>5.0</v>
      </c>
      <c r="E9" s="41" t="s">
        <v>30</v>
      </c>
      <c r="F9" s="42">
        <v>19.0</v>
      </c>
      <c r="G9" s="43"/>
      <c r="H9" s="44"/>
      <c r="I9" s="45"/>
      <c r="J9" s="46"/>
      <c r="K9" s="47"/>
      <c r="L9" s="48"/>
      <c r="M9" s="49"/>
      <c r="N9" s="50"/>
      <c r="O9" s="51"/>
      <c r="P9" s="52"/>
      <c r="Q9" s="53"/>
      <c r="R9" s="54"/>
      <c r="S9" s="55"/>
      <c r="T9" s="56">
        <f t="shared" si="1"/>
        <v>0</v>
      </c>
      <c r="U9" s="56">
        <f t="shared" si="2"/>
        <v>0</v>
      </c>
      <c r="V9" s="56">
        <f>T9*0.15</f>
        <v>0</v>
      </c>
      <c r="W9" s="57">
        <f t="shared" ref="W9:W16" si="4">F9*T9</f>
        <v>0</v>
      </c>
    </row>
    <row r="10" ht="99.75" customHeight="1">
      <c r="B10" s="39" t="s">
        <v>31</v>
      </c>
      <c r="C10" s="40"/>
      <c r="D10" s="41">
        <v>5.0</v>
      </c>
      <c r="E10" s="41" t="s">
        <v>32</v>
      </c>
      <c r="F10" s="42">
        <v>23.0</v>
      </c>
      <c r="G10" s="43"/>
      <c r="H10" s="44"/>
      <c r="I10" s="45"/>
      <c r="J10" s="46"/>
      <c r="K10" s="47"/>
      <c r="L10" s="48"/>
      <c r="M10" s="49"/>
      <c r="N10" s="50"/>
      <c r="O10" s="51"/>
      <c r="P10" s="52"/>
      <c r="Q10" s="53"/>
      <c r="R10" s="54"/>
      <c r="S10" s="55"/>
      <c r="T10" s="56">
        <f t="shared" si="1"/>
        <v>0</v>
      </c>
      <c r="U10" s="56">
        <f t="shared" si="2"/>
        <v>0</v>
      </c>
      <c r="V10" s="56">
        <f t="shared" ref="V10:V11" si="5">T10*0.6</f>
        <v>0</v>
      </c>
      <c r="W10" s="57">
        <f t="shared" si="4"/>
        <v>0</v>
      </c>
    </row>
    <row r="11" ht="99.75" customHeight="1">
      <c r="B11" s="58" t="s">
        <v>33</v>
      </c>
      <c r="C11" s="59"/>
      <c r="D11" s="60">
        <v>10.0</v>
      </c>
      <c r="E11" s="60" t="s">
        <v>34</v>
      </c>
      <c r="F11" s="42">
        <v>52.0</v>
      </c>
      <c r="G11" s="61"/>
      <c r="H11" s="62"/>
      <c r="I11" s="63"/>
      <c r="J11" s="64"/>
      <c r="K11" s="65"/>
      <c r="L11" s="66"/>
      <c r="M11" s="67"/>
      <c r="N11" s="68"/>
      <c r="O11" s="69"/>
      <c r="P11" s="70"/>
      <c r="Q11" s="71"/>
      <c r="R11" s="72"/>
      <c r="S11" s="73"/>
      <c r="T11" s="74">
        <f t="shared" si="1"/>
        <v>0</v>
      </c>
      <c r="U11" s="74">
        <f t="shared" si="2"/>
        <v>0</v>
      </c>
      <c r="V11" s="74">
        <f t="shared" si="5"/>
        <v>0</v>
      </c>
      <c r="W11" s="75">
        <f t="shared" si="4"/>
        <v>0</v>
      </c>
    </row>
    <row r="12" ht="99.75" customHeight="1">
      <c r="B12" s="58" t="s">
        <v>35</v>
      </c>
      <c r="C12" s="59"/>
      <c r="D12" s="60">
        <v>5.0</v>
      </c>
      <c r="E12" s="60" t="s">
        <v>36</v>
      </c>
      <c r="F12" s="42">
        <v>79.0</v>
      </c>
      <c r="G12" s="61"/>
      <c r="H12" s="62"/>
      <c r="I12" s="63"/>
      <c r="J12" s="64"/>
      <c r="K12" s="65"/>
      <c r="L12" s="66"/>
      <c r="M12" s="67"/>
      <c r="N12" s="68"/>
      <c r="O12" s="69"/>
      <c r="P12" s="70"/>
      <c r="Q12" s="71"/>
      <c r="R12" s="72"/>
      <c r="S12" s="73"/>
      <c r="T12" s="74">
        <f t="shared" si="1"/>
        <v>0</v>
      </c>
      <c r="U12" s="74">
        <f t="shared" si="2"/>
        <v>0</v>
      </c>
      <c r="V12" s="74">
        <f>T12*1.5</f>
        <v>0</v>
      </c>
      <c r="W12" s="75">
        <f t="shared" si="4"/>
        <v>0</v>
      </c>
    </row>
    <row r="13" ht="99.75" customHeight="1">
      <c r="B13" s="58" t="s">
        <v>37</v>
      </c>
      <c r="C13" s="59"/>
      <c r="D13" s="60">
        <v>10.0</v>
      </c>
      <c r="E13" s="60" t="s">
        <v>38</v>
      </c>
      <c r="F13" s="42">
        <v>76.0</v>
      </c>
      <c r="G13" s="61"/>
      <c r="H13" s="62"/>
      <c r="I13" s="63"/>
      <c r="J13" s="64"/>
      <c r="K13" s="65"/>
      <c r="L13" s="66"/>
      <c r="M13" s="67"/>
      <c r="N13" s="68"/>
      <c r="O13" s="69"/>
      <c r="P13" s="70"/>
      <c r="Q13" s="71"/>
      <c r="R13" s="72"/>
      <c r="S13" s="73"/>
      <c r="T13" s="74">
        <f t="shared" si="1"/>
        <v>0</v>
      </c>
      <c r="U13" s="74">
        <f t="shared" si="2"/>
        <v>0</v>
      </c>
      <c r="V13" s="74">
        <f>T13*1.15</f>
        <v>0</v>
      </c>
      <c r="W13" s="75">
        <f t="shared" si="4"/>
        <v>0</v>
      </c>
    </row>
    <row r="14" ht="99.75" customHeight="1">
      <c r="B14" s="58" t="s">
        <v>39</v>
      </c>
      <c r="C14" s="59"/>
      <c r="D14" s="60">
        <v>5.0</v>
      </c>
      <c r="E14" s="60" t="s">
        <v>40</v>
      </c>
      <c r="F14" s="42">
        <v>32.0</v>
      </c>
      <c r="G14" s="61"/>
      <c r="H14" s="62"/>
      <c r="I14" s="63"/>
      <c r="J14" s="64"/>
      <c r="K14" s="65"/>
      <c r="L14" s="66"/>
      <c r="M14" s="67"/>
      <c r="N14" s="68"/>
      <c r="O14" s="69"/>
      <c r="P14" s="70"/>
      <c r="Q14" s="71"/>
      <c r="R14" s="72"/>
      <c r="S14" s="73"/>
      <c r="T14" s="74">
        <f t="shared" si="1"/>
        <v>0</v>
      </c>
      <c r="U14" s="74">
        <f t="shared" si="2"/>
        <v>0</v>
      </c>
      <c r="V14" s="74">
        <f>T14*0.45</f>
        <v>0</v>
      </c>
      <c r="W14" s="75">
        <f t="shared" si="4"/>
        <v>0</v>
      </c>
    </row>
    <row r="15" ht="99.75" customHeight="1">
      <c r="B15" s="58" t="s">
        <v>41</v>
      </c>
      <c r="C15" s="59"/>
      <c r="D15" s="60">
        <v>5.0</v>
      </c>
      <c r="E15" s="60" t="s">
        <v>42</v>
      </c>
      <c r="F15" s="42">
        <v>89.0</v>
      </c>
      <c r="G15" s="61"/>
      <c r="H15" s="62"/>
      <c r="I15" s="63"/>
      <c r="J15" s="64"/>
      <c r="K15" s="65"/>
      <c r="L15" s="66"/>
      <c r="M15" s="67"/>
      <c r="N15" s="68"/>
      <c r="O15" s="69"/>
      <c r="P15" s="70"/>
      <c r="Q15" s="71"/>
      <c r="R15" s="72"/>
      <c r="S15" s="73"/>
      <c r="T15" s="74">
        <f t="shared" si="1"/>
        <v>0</v>
      </c>
      <c r="U15" s="74">
        <f t="shared" si="2"/>
        <v>0</v>
      </c>
      <c r="V15" s="74">
        <f>T15*1.7</f>
        <v>0</v>
      </c>
      <c r="W15" s="75">
        <f t="shared" si="4"/>
        <v>0</v>
      </c>
    </row>
    <row r="16" ht="99.75" customHeight="1">
      <c r="B16" s="58" t="s">
        <v>43</v>
      </c>
      <c r="C16" s="59"/>
      <c r="D16" s="60">
        <v>10.0</v>
      </c>
      <c r="E16" s="60" t="s">
        <v>44</v>
      </c>
      <c r="F16" s="42">
        <v>120.0</v>
      </c>
      <c r="G16" s="61"/>
      <c r="H16" s="62"/>
      <c r="I16" s="63"/>
      <c r="J16" s="64"/>
      <c r="K16" s="65"/>
      <c r="L16" s="66"/>
      <c r="M16" s="67"/>
      <c r="N16" s="68"/>
      <c r="O16" s="69"/>
      <c r="P16" s="70"/>
      <c r="Q16" s="71"/>
      <c r="R16" s="72"/>
      <c r="S16" s="73"/>
      <c r="T16" s="74">
        <f t="shared" si="1"/>
        <v>0</v>
      </c>
      <c r="U16" s="74">
        <f t="shared" si="2"/>
        <v>0</v>
      </c>
      <c r="V16" s="74">
        <f>T16*2.14</f>
        <v>0</v>
      </c>
      <c r="W16" s="75">
        <f t="shared" si="4"/>
        <v>0</v>
      </c>
    </row>
    <row r="17" ht="38.25" customHeight="1">
      <c r="B17" s="76" t="s">
        <v>45</v>
      </c>
      <c r="C17" s="76" t="s">
        <v>46</v>
      </c>
      <c r="D17" s="76">
        <v>5.0</v>
      </c>
      <c r="E17" s="76" t="s">
        <v>47</v>
      </c>
      <c r="F17" s="77" t="s">
        <v>46</v>
      </c>
      <c r="G17" s="76" t="s">
        <v>46</v>
      </c>
      <c r="H17" s="76" t="s">
        <v>46</v>
      </c>
      <c r="I17" s="76" t="s">
        <v>46</v>
      </c>
      <c r="J17" s="76" t="s">
        <v>46</v>
      </c>
      <c r="K17" s="76" t="s">
        <v>46</v>
      </c>
      <c r="L17" s="76" t="s">
        <v>46</v>
      </c>
      <c r="M17" s="76" t="s">
        <v>46</v>
      </c>
      <c r="N17" s="76" t="s">
        <v>46</v>
      </c>
      <c r="O17" s="76" t="s">
        <v>46</v>
      </c>
      <c r="P17" s="76" t="s">
        <v>46</v>
      </c>
      <c r="Q17" s="76" t="s">
        <v>46</v>
      </c>
      <c r="R17" s="76" t="s">
        <v>46</v>
      </c>
      <c r="S17" s="76" t="s">
        <v>46</v>
      </c>
      <c r="T17" s="78"/>
      <c r="U17" s="78"/>
      <c r="V17" s="78"/>
      <c r="W17" s="79"/>
    </row>
    <row r="18" ht="99.75" customHeight="1">
      <c r="B18" s="58" t="s">
        <v>48</v>
      </c>
      <c r="C18" s="59"/>
      <c r="D18" s="60">
        <v>10.0</v>
      </c>
      <c r="E18" s="60" t="s">
        <v>49</v>
      </c>
      <c r="F18" s="42">
        <v>179.0</v>
      </c>
      <c r="G18" s="61"/>
      <c r="H18" s="62"/>
      <c r="I18" s="63"/>
      <c r="J18" s="64"/>
      <c r="K18" s="80"/>
      <c r="L18" s="66"/>
      <c r="M18" s="67"/>
      <c r="N18" s="68"/>
      <c r="O18" s="69"/>
      <c r="P18" s="70"/>
      <c r="Q18" s="71"/>
      <c r="R18" s="72"/>
      <c r="S18" s="73"/>
      <c r="T18" s="74">
        <f t="shared" ref="T18:T19" si="6">SUM(G18:S18)</f>
        <v>0</v>
      </c>
      <c r="U18" s="74">
        <f t="shared" ref="U18:U19" si="7">D18*T18</f>
        <v>0</v>
      </c>
      <c r="V18" s="74">
        <f>T18*3.46</f>
        <v>0</v>
      </c>
      <c r="W18" s="75">
        <f t="shared" ref="W18:W19" si="8">F18*T18</f>
        <v>0</v>
      </c>
    </row>
    <row r="19" ht="99.75" customHeight="1">
      <c r="B19" s="58" t="s">
        <v>50</v>
      </c>
      <c r="C19" s="59"/>
      <c r="D19" s="60">
        <v>5.0</v>
      </c>
      <c r="E19" s="60" t="s">
        <v>51</v>
      </c>
      <c r="F19" s="42">
        <v>109.0</v>
      </c>
      <c r="G19" s="61"/>
      <c r="H19" s="62"/>
      <c r="I19" s="63"/>
      <c r="J19" s="64"/>
      <c r="K19" s="80"/>
      <c r="L19" s="66"/>
      <c r="M19" s="67"/>
      <c r="N19" s="68"/>
      <c r="O19" s="69"/>
      <c r="P19" s="70"/>
      <c r="Q19" s="71"/>
      <c r="R19" s="72"/>
      <c r="S19" s="73"/>
      <c r="T19" s="74">
        <f t="shared" si="6"/>
        <v>0</v>
      </c>
      <c r="U19" s="74">
        <f t="shared" si="7"/>
        <v>0</v>
      </c>
      <c r="V19" s="74">
        <f>T19*2.18</f>
        <v>0</v>
      </c>
      <c r="W19" s="75">
        <f t="shared" si="8"/>
        <v>0</v>
      </c>
    </row>
    <row r="20" ht="37.5" customHeight="1">
      <c r="B20" s="81" t="s">
        <v>52</v>
      </c>
      <c r="C20" s="76" t="s">
        <v>46</v>
      </c>
      <c r="D20" s="82">
        <v>5.0</v>
      </c>
      <c r="E20" s="82" t="s">
        <v>53</v>
      </c>
      <c r="F20" s="77" t="s">
        <v>46</v>
      </c>
      <c r="G20" s="76" t="s">
        <v>46</v>
      </c>
      <c r="H20" s="76" t="s">
        <v>46</v>
      </c>
      <c r="I20" s="76" t="s">
        <v>46</v>
      </c>
      <c r="J20" s="76" t="s">
        <v>46</v>
      </c>
      <c r="K20" s="76" t="s">
        <v>46</v>
      </c>
      <c r="L20" s="76" t="s">
        <v>46</v>
      </c>
      <c r="M20" s="76" t="s">
        <v>46</v>
      </c>
      <c r="N20" s="76" t="s">
        <v>46</v>
      </c>
      <c r="O20" s="76" t="s">
        <v>46</v>
      </c>
      <c r="P20" s="76" t="s">
        <v>46</v>
      </c>
      <c r="Q20" s="76" t="s">
        <v>46</v>
      </c>
      <c r="R20" s="76" t="s">
        <v>46</v>
      </c>
      <c r="S20" s="76" t="s">
        <v>46</v>
      </c>
      <c r="T20" s="78"/>
      <c r="U20" s="78"/>
      <c r="V20" s="78"/>
      <c r="W20" s="79"/>
    </row>
    <row r="21" ht="99.75" customHeight="1">
      <c r="B21" s="58" t="s">
        <v>54</v>
      </c>
      <c r="C21" s="59"/>
      <c r="D21" s="60">
        <v>10.0</v>
      </c>
      <c r="E21" s="60" t="s">
        <v>55</v>
      </c>
      <c r="F21" s="42">
        <v>239.0</v>
      </c>
      <c r="G21" s="61"/>
      <c r="H21" s="62"/>
      <c r="I21" s="63"/>
      <c r="J21" s="64"/>
      <c r="K21" s="80"/>
      <c r="L21" s="66"/>
      <c r="M21" s="67"/>
      <c r="N21" s="68"/>
      <c r="O21" s="69"/>
      <c r="P21" s="70"/>
      <c r="Q21" s="71"/>
      <c r="R21" s="72"/>
      <c r="S21" s="73"/>
      <c r="T21" s="74">
        <f t="shared" ref="T21:T28" si="9">SUM(G21:S21)</f>
        <v>0</v>
      </c>
      <c r="U21" s="74">
        <f t="shared" ref="U21:U28" si="10">D21*T21</f>
        <v>0</v>
      </c>
      <c r="V21" s="74">
        <f>T21*2.46</f>
        <v>0</v>
      </c>
      <c r="W21" s="75">
        <f t="shared" ref="W21:W28" si="11">F21*T21</f>
        <v>0</v>
      </c>
    </row>
    <row r="22" ht="99.75" customHeight="1">
      <c r="B22" s="58" t="s">
        <v>56</v>
      </c>
      <c r="C22" s="59"/>
      <c r="D22" s="60">
        <v>5.0</v>
      </c>
      <c r="E22" s="60" t="s">
        <v>57</v>
      </c>
      <c r="F22" s="42">
        <v>216.0</v>
      </c>
      <c r="G22" s="61"/>
      <c r="H22" s="62"/>
      <c r="I22" s="63"/>
      <c r="J22" s="64"/>
      <c r="K22" s="80"/>
      <c r="L22" s="66"/>
      <c r="M22" s="67"/>
      <c r="N22" s="68"/>
      <c r="O22" s="69"/>
      <c r="P22" s="70"/>
      <c r="Q22" s="71"/>
      <c r="R22" s="72"/>
      <c r="S22" s="73"/>
      <c r="T22" s="74">
        <f t="shared" si="9"/>
        <v>0</v>
      </c>
      <c r="U22" s="74">
        <f t="shared" si="10"/>
        <v>0</v>
      </c>
      <c r="V22" s="74">
        <f>T22*3.08</f>
        <v>0</v>
      </c>
      <c r="W22" s="75">
        <f t="shared" si="11"/>
        <v>0</v>
      </c>
    </row>
    <row r="23" ht="99.75" customHeight="1">
      <c r="B23" s="58" t="s">
        <v>58</v>
      </c>
      <c r="C23" s="59"/>
      <c r="D23" s="60">
        <v>5.0</v>
      </c>
      <c r="E23" s="60" t="s">
        <v>59</v>
      </c>
      <c r="F23" s="42">
        <v>206.0</v>
      </c>
      <c r="G23" s="61"/>
      <c r="H23" s="62"/>
      <c r="I23" s="63"/>
      <c r="J23" s="64"/>
      <c r="K23" s="80"/>
      <c r="L23" s="66"/>
      <c r="M23" s="67"/>
      <c r="N23" s="68"/>
      <c r="O23" s="69"/>
      <c r="P23" s="70"/>
      <c r="Q23" s="71"/>
      <c r="R23" s="72"/>
      <c r="S23" s="73"/>
      <c r="T23" s="74">
        <f t="shared" si="9"/>
        <v>0</v>
      </c>
      <c r="U23" s="74">
        <f t="shared" si="10"/>
        <v>0</v>
      </c>
      <c r="V23" s="74">
        <f>T23*2.9</f>
        <v>0</v>
      </c>
      <c r="W23" s="75">
        <f t="shared" si="11"/>
        <v>0</v>
      </c>
    </row>
    <row r="24" ht="99.75" customHeight="1">
      <c r="B24" s="58" t="s">
        <v>60</v>
      </c>
      <c r="C24" s="59"/>
      <c r="D24" s="60">
        <v>5.0</v>
      </c>
      <c r="E24" s="60" t="s">
        <v>61</v>
      </c>
      <c r="F24" s="42">
        <v>360.0</v>
      </c>
      <c r="G24" s="61"/>
      <c r="H24" s="62"/>
      <c r="I24" s="63"/>
      <c r="J24" s="64"/>
      <c r="K24" s="80"/>
      <c r="L24" s="66"/>
      <c r="M24" s="67"/>
      <c r="N24" s="68"/>
      <c r="O24" s="69"/>
      <c r="P24" s="70"/>
      <c r="Q24" s="71"/>
      <c r="R24" s="72"/>
      <c r="S24" s="73"/>
      <c r="T24" s="74">
        <f t="shared" si="9"/>
        <v>0</v>
      </c>
      <c r="U24" s="74">
        <f t="shared" si="10"/>
        <v>0</v>
      </c>
      <c r="V24" s="74">
        <f>T24*5.85</f>
        <v>0</v>
      </c>
      <c r="W24" s="75">
        <f t="shared" si="11"/>
        <v>0</v>
      </c>
    </row>
    <row r="25" ht="99.75" customHeight="1">
      <c r="B25" s="58" t="s">
        <v>62</v>
      </c>
      <c r="C25" s="59"/>
      <c r="D25" s="60">
        <v>2.0</v>
      </c>
      <c r="E25" s="60" t="s">
        <v>63</v>
      </c>
      <c r="F25" s="42">
        <v>193.0</v>
      </c>
      <c r="G25" s="61"/>
      <c r="H25" s="62"/>
      <c r="I25" s="63"/>
      <c r="J25" s="64"/>
      <c r="K25" s="80"/>
      <c r="L25" s="66"/>
      <c r="M25" s="67"/>
      <c r="N25" s="68"/>
      <c r="O25" s="69"/>
      <c r="P25" s="70"/>
      <c r="Q25" s="71"/>
      <c r="R25" s="72"/>
      <c r="S25" s="73"/>
      <c r="T25" s="74">
        <f t="shared" si="9"/>
        <v>0</v>
      </c>
      <c r="U25" s="74">
        <f t="shared" si="10"/>
        <v>0</v>
      </c>
      <c r="V25" s="74">
        <f>T25*3.31</f>
        <v>0</v>
      </c>
      <c r="W25" s="75">
        <f t="shared" si="11"/>
        <v>0</v>
      </c>
    </row>
    <row r="26" ht="99.75" customHeight="1">
      <c r="B26" s="58" t="s">
        <v>64</v>
      </c>
      <c r="C26" s="59"/>
      <c r="D26" s="60">
        <v>2.0</v>
      </c>
      <c r="E26" s="60" t="s">
        <v>65</v>
      </c>
      <c r="F26" s="42">
        <v>252.0</v>
      </c>
      <c r="G26" s="61"/>
      <c r="H26" s="62"/>
      <c r="I26" s="63"/>
      <c r="J26" s="64"/>
      <c r="K26" s="80"/>
      <c r="L26" s="66"/>
      <c r="M26" s="67"/>
      <c r="N26" s="68"/>
      <c r="O26" s="69"/>
      <c r="P26" s="70"/>
      <c r="Q26" s="71"/>
      <c r="R26" s="72"/>
      <c r="S26" s="73"/>
      <c r="T26" s="74">
        <f t="shared" si="9"/>
        <v>0</v>
      </c>
      <c r="U26" s="74">
        <f t="shared" si="10"/>
        <v>0</v>
      </c>
      <c r="V26" s="74">
        <f>T26*4.27</f>
        <v>0</v>
      </c>
      <c r="W26" s="75">
        <f t="shared" si="11"/>
        <v>0</v>
      </c>
    </row>
    <row r="27" ht="99.75" customHeight="1">
      <c r="B27" s="58" t="s">
        <v>66</v>
      </c>
      <c r="C27" s="59"/>
      <c r="D27" s="60">
        <v>2.0</v>
      </c>
      <c r="E27" s="60" t="s">
        <v>67</v>
      </c>
      <c r="F27" s="42">
        <v>242.0</v>
      </c>
      <c r="G27" s="61"/>
      <c r="H27" s="62"/>
      <c r="I27" s="63"/>
      <c r="J27" s="64"/>
      <c r="K27" s="80"/>
      <c r="L27" s="66"/>
      <c r="M27" s="67"/>
      <c r="N27" s="68"/>
      <c r="O27" s="69"/>
      <c r="P27" s="70"/>
      <c r="Q27" s="71"/>
      <c r="R27" s="72"/>
      <c r="S27" s="73"/>
      <c r="T27" s="74">
        <f t="shared" si="9"/>
        <v>0</v>
      </c>
      <c r="U27" s="74">
        <f t="shared" si="10"/>
        <v>0</v>
      </c>
      <c r="V27" s="74">
        <f>T27*4.24</f>
        <v>0</v>
      </c>
      <c r="W27" s="75">
        <f t="shared" si="11"/>
        <v>0</v>
      </c>
    </row>
    <row r="28" ht="99.75" customHeight="1">
      <c r="B28" s="83" t="s">
        <v>68</v>
      </c>
      <c r="C28" s="84"/>
      <c r="D28" s="85">
        <v>2.0</v>
      </c>
      <c r="E28" s="85" t="s">
        <v>69</v>
      </c>
      <c r="F28" s="42">
        <v>185.0</v>
      </c>
      <c r="G28" s="86"/>
      <c r="H28" s="87"/>
      <c r="I28" s="88"/>
      <c r="J28" s="89"/>
      <c r="K28" s="90"/>
      <c r="L28" s="91"/>
      <c r="M28" s="92"/>
      <c r="N28" s="93"/>
      <c r="O28" s="94"/>
      <c r="P28" s="95"/>
      <c r="Q28" s="96"/>
      <c r="R28" s="97"/>
      <c r="S28" s="98"/>
      <c r="T28" s="99">
        <f t="shared" si="9"/>
        <v>0</v>
      </c>
      <c r="U28" s="99">
        <f t="shared" si="10"/>
        <v>0</v>
      </c>
      <c r="V28" s="99">
        <f>T28*3.14</f>
        <v>0</v>
      </c>
      <c r="W28" s="100">
        <f t="shared" si="11"/>
        <v>0</v>
      </c>
    </row>
    <row r="29" ht="15.75" customHeight="1">
      <c r="B29" s="101"/>
      <c r="C29" s="101"/>
      <c r="D29" s="101"/>
      <c r="E29" s="101"/>
      <c r="F29" s="102"/>
      <c r="G29" s="103">
        <f t="shared" ref="G29:I29" si="12">SUM(G6:G28)</f>
        <v>0</v>
      </c>
      <c r="H29" s="103">
        <f t="shared" si="12"/>
        <v>0</v>
      </c>
      <c r="I29" s="103">
        <f t="shared" si="12"/>
        <v>0</v>
      </c>
      <c r="J29" s="103">
        <f>+SUM(J6:J28)</f>
        <v>0</v>
      </c>
      <c r="K29" s="103">
        <f t="shared" ref="K29:W29" si="13">SUM(K6:K28)</f>
        <v>0</v>
      </c>
      <c r="L29" s="103">
        <f t="shared" si="13"/>
        <v>0</v>
      </c>
      <c r="M29" s="103">
        <f t="shared" si="13"/>
        <v>0</v>
      </c>
      <c r="N29" s="103">
        <f t="shared" si="13"/>
        <v>0</v>
      </c>
      <c r="O29" s="103">
        <f t="shared" si="13"/>
        <v>0</v>
      </c>
      <c r="P29" s="103">
        <f t="shared" si="13"/>
        <v>0</v>
      </c>
      <c r="Q29" s="103">
        <f t="shared" si="13"/>
        <v>0</v>
      </c>
      <c r="R29" s="103">
        <f t="shared" si="13"/>
        <v>0</v>
      </c>
      <c r="S29" s="103">
        <f t="shared" si="13"/>
        <v>0</v>
      </c>
      <c r="T29" s="103">
        <f t="shared" si="13"/>
        <v>0</v>
      </c>
      <c r="U29" s="103">
        <f t="shared" si="13"/>
        <v>0</v>
      </c>
      <c r="V29" s="103">
        <f t="shared" si="13"/>
        <v>0</v>
      </c>
      <c r="W29" s="104">
        <f t="shared" si="13"/>
        <v>0</v>
      </c>
    </row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B2:E3"/>
  </mergeCells>
  <printOptions/>
  <pageMargins bottom="0.75" footer="0.0" header="0.0" left="0.7" right="0.7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030A0"/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6.57"/>
    <col customWidth="1" min="3" max="3" width="23.29"/>
    <col customWidth="1" min="4" max="4" width="9.14"/>
    <col customWidth="1" min="5" max="5" width="9.86"/>
    <col customWidth="1" min="6" max="6" width="12.0"/>
    <col customWidth="1" min="7" max="22" width="9.14"/>
    <col customWidth="1" min="23" max="23" width="14.86"/>
  </cols>
  <sheetData>
    <row r="1">
      <c r="F1" s="105"/>
    </row>
    <row r="2" ht="33.0" customHeight="1">
      <c r="B2" s="106" t="s">
        <v>70</v>
      </c>
      <c r="C2" s="107"/>
      <c r="D2" s="108"/>
      <c r="E2" s="101"/>
      <c r="F2" s="109"/>
      <c r="G2" s="2" t="s">
        <v>1</v>
      </c>
      <c r="H2" s="3" t="s">
        <v>2</v>
      </c>
      <c r="I2" s="4" t="s">
        <v>3</v>
      </c>
      <c r="J2" s="5" t="s">
        <v>4</v>
      </c>
      <c r="K2" s="6" t="s">
        <v>5</v>
      </c>
      <c r="L2" s="7" t="s">
        <v>6</v>
      </c>
      <c r="M2" s="8" t="s">
        <v>7</v>
      </c>
      <c r="N2" s="9" t="s">
        <v>8</v>
      </c>
      <c r="O2" s="10" t="s">
        <v>9</v>
      </c>
      <c r="P2" s="11" t="s">
        <v>10</v>
      </c>
      <c r="Q2" s="12" t="s">
        <v>11</v>
      </c>
      <c r="R2" s="13" t="s">
        <v>12</v>
      </c>
      <c r="S2" s="14" t="s">
        <v>13</v>
      </c>
      <c r="T2" s="110"/>
      <c r="U2" s="110"/>
      <c r="V2" s="110"/>
      <c r="W2" s="111"/>
    </row>
    <row r="3" ht="15.0" customHeight="1">
      <c r="B3" s="15" t="s">
        <v>14</v>
      </c>
      <c r="C3" s="16" t="s">
        <v>15</v>
      </c>
      <c r="D3" s="17" t="s">
        <v>16</v>
      </c>
      <c r="E3" s="17" t="s">
        <v>17</v>
      </c>
      <c r="F3" s="18" t="s">
        <v>18</v>
      </c>
      <c r="G3" s="112">
        <v>2.0</v>
      </c>
      <c r="H3" s="113">
        <v>5.0</v>
      </c>
      <c r="I3" s="114">
        <v>7.0</v>
      </c>
      <c r="J3" s="115">
        <v>10.0</v>
      </c>
      <c r="K3" s="116">
        <v>11.0</v>
      </c>
      <c r="L3" s="117">
        <v>12.0</v>
      </c>
      <c r="M3" s="118">
        <v>13.0</v>
      </c>
      <c r="N3" s="119">
        <v>16.0</v>
      </c>
      <c r="O3" s="120">
        <v>69.0</v>
      </c>
      <c r="P3" s="121">
        <v>76.0</v>
      </c>
      <c r="Q3" s="122">
        <v>77.0</v>
      </c>
      <c r="R3" s="32">
        <v>79.0</v>
      </c>
      <c r="S3" s="123">
        <v>81.0</v>
      </c>
      <c r="T3" s="32" t="s">
        <v>19</v>
      </c>
      <c r="U3" s="32" t="s">
        <v>20</v>
      </c>
      <c r="V3" s="32" t="s">
        <v>21</v>
      </c>
      <c r="W3" s="33" t="s">
        <v>22</v>
      </c>
    </row>
    <row r="4">
      <c r="B4" s="101"/>
      <c r="C4" s="101"/>
      <c r="D4" s="101"/>
      <c r="E4" s="101"/>
      <c r="F4" s="109"/>
      <c r="G4" s="110"/>
      <c r="H4" s="110"/>
      <c r="I4" s="110"/>
      <c r="J4" s="124"/>
      <c r="K4" s="110"/>
      <c r="L4" s="110"/>
      <c r="M4" s="110"/>
      <c r="N4" s="110"/>
      <c r="O4" s="110"/>
      <c r="P4" s="110"/>
      <c r="Q4" s="110"/>
      <c r="R4" s="110"/>
      <c r="S4" s="124"/>
      <c r="T4" s="110"/>
      <c r="U4" s="110"/>
      <c r="V4" s="110"/>
      <c r="W4" s="111"/>
    </row>
    <row r="5" ht="129.75" customHeight="1">
      <c r="B5" s="125" t="s">
        <v>71</v>
      </c>
      <c r="C5" s="126"/>
      <c r="D5" s="127">
        <v>5.0</v>
      </c>
      <c r="E5" s="127" t="s">
        <v>72</v>
      </c>
      <c r="F5" s="42">
        <v>78.0</v>
      </c>
      <c r="G5" s="128"/>
      <c r="H5" s="129"/>
      <c r="I5" s="130"/>
      <c r="J5" s="131"/>
      <c r="K5" s="132"/>
      <c r="L5" s="133"/>
      <c r="M5" s="134"/>
      <c r="N5" s="135"/>
      <c r="O5" s="136"/>
      <c r="P5" s="137"/>
      <c r="Q5" s="138"/>
      <c r="R5" s="139"/>
      <c r="S5" s="140"/>
      <c r="T5" s="141">
        <f t="shared" ref="T5:T35" si="1">SUM(G5:S5)</f>
        <v>0</v>
      </c>
      <c r="U5" s="141">
        <f>D5*T5</f>
        <v>0</v>
      </c>
      <c r="V5" s="141">
        <f>T5*1.48</f>
        <v>0</v>
      </c>
      <c r="W5" s="142">
        <f>F5*T5</f>
        <v>0</v>
      </c>
    </row>
    <row r="6" ht="129.75" customHeight="1">
      <c r="B6" s="39" t="s">
        <v>73</v>
      </c>
      <c r="C6" s="40"/>
      <c r="D6" s="41">
        <v>10.0</v>
      </c>
      <c r="E6" s="41" t="s">
        <v>74</v>
      </c>
      <c r="F6" s="42">
        <v>72.0</v>
      </c>
      <c r="G6" s="43"/>
      <c r="H6" s="44"/>
      <c r="I6" s="45"/>
      <c r="J6" s="46"/>
      <c r="K6" s="143"/>
      <c r="L6" s="48"/>
      <c r="M6" s="49"/>
      <c r="N6" s="50"/>
      <c r="O6" s="51"/>
      <c r="P6" s="52"/>
      <c r="Q6" s="53"/>
      <c r="R6" s="54"/>
      <c r="S6" s="55"/>
      <c r="T6" s="56">
        <f t="shared" si="1"/>
        <v>0</v>
      </c>
      <c r="U6" s="56">
        <f>T6*D6</f>
        <v>0</v>
      </c>
      <c r="V6" s="56">
        <f>T6*1.1</f>
        <v>0</v>
      </c>
      <c r="W6" s="57">
        <f>T6*F6</f>
        <v>0</v>
      </c>
    </row>
    <row r="7" ht="129.75" customHeight="1">
      <c r="B7" s="58" t="s">
        <v>75</v>
      </c>
      <c r="C7" s="59"/>
      <c r="D7" s="60">
        <v>5.0</v>
      </c>
      <c r="E7" s="60" t="s">
        <v>76</v>
      </c>
      <c r="F7" s="42">
        <v>67.0</v>
      </c>
      <c r="G7" s="61"/>
      <c r="H7" s="62"/>
      <c r="I7" s="63"/>
      <c r="J7" s="64"/>
      <c r="K7" s="80"/>
      <c r="L7" s="66"/>
      <c r="M7" s="67"/>
      <c r="N7" s="68"/>
      <c r="O7" s="69"/>
      <c r="P7" s="70"/>
      <c r="Q7" s="71"/>
      <c r="R7" s="72"/>
      <c r="S7" s="73"/>
      <c r="T7" s="74">
        <f t="shared" si="1"/>
        <v>0</v>
      </c>
      <c r="U7" s="74">
        <f t="shared" ref="U7:U18" si="2">D7*T7</f>
        <v>0</v>
      </c>
      <c r="V7" s="74">
        <f>T7*1.23</f>
        <v>0</v>
      </c>
      <c r="W7" s="75">
        <f t="shared" ref="W7:W33" si="3">F7*T7</f>
        <v>0</v>
      </c>
    </row>
    <row r="8" ht="129.75" customHeight="1">
      <c r="B8" s="39" t="s">
        <v>25</v>
      </c>
      <c r="C8" s="40"/>
      <c r="D8" s="41">
        <v>10.0</v>
      </c>
      <c r="E8" s="41" t="s">
        <v>77</v>
      </c>
      <c r="F8" s="42">
        <v>75.0</v>
      </c>
      <c r="G8" s="43"/>
      <c r="H8" s="44"/>
      <c r="I8" s="45"/>
      <c r="J8" s="46"/>
      <c r="K8" s="143"/>
      <c r="L8" s="48"/>
      <c r="M8" s="49"/>
      <c r="N8" s="50"/>
      <c r="O8" s="51"/>
      <c r="P8" s="52"/>
      <c r="Q8" s="53"/>
      <c r="R8" s="54"/>
      <c r="S8" s="55"/>
      <c r="T8" s="56">
        <f t="shared" si="1"/>
        <v>0</v>
      </c>
      <c r="U8" s="56">
        <f t="shared" si="2"/>
        <v>0</v>
      </c>
      <c r="V8" s="56">
        <f>T8*1.1</f>
        <v>0</v>
      </c>
      <c r="W8" s="57">
        <f t="shared" si="3"/>
        <v>0</v>
      </c>
    </row>
    <row r="9" ht="129.75" customHeight="1">
      <c r="B9" s="39" t="s">
        <v>78</v>
      </c>
      <c r="C9" s="40"/>
      <c r="D9" s="41">
        <v>5.0</v>
      </c>
      <c r="E9" s="41" t="s">
        <v>79</v>
      </c>
      <c r="F9" s="42">
        <v>83.0</v>
      </c>
      <c r="G9" s="43"/>
      <c r="H9" s="44"/>
      <c r="I9" s="45"/>
      <c r="J9" s="46"/>
      <c r="K9" s="143"/>
      <c r="L9" s="48"/>
      <c r="M9" s="49"/>
      <c r="N9" s="50"/>
      <c r="O9" s="51"/>
      <c r="P9" s="52"/>
      <c r="Q9" s="53"/>
      <c r="R9" s="54"/>
      <c r="S9" s="55"/>
      <c r="T9" s="56">
        <f t="shared" si="1"/>
        <v>0</v>
      </c>
      <c r="U9" s="56">
        <f t="shared" si="2"/>
        <v>0</v>
      </c>
      <c r="V9" s="56">
        <f>T9*1.58</f>
        <v>0</v>
      </c>
      <c r="W9" s="57">
        <f t="shared" si="3"/>
        <v>0</v>
      </c>
    </row>
    <row r="10" ht="129.75" customHeight="1">
      <c r="B10" s="39" t="s">
        <v>80</v>
      </c>
      <c r="C10" s="40"/>
      <c r="D10" s="41">
        <v>10.0</v>
      </c>
      <c r="E10" s="41" t="s">
        <v>81</v>
      </c>
      <c r="F10" s="42">
        <v>90.0</v>
      </c>
      <c r="G10" s="43"/>
      <c r="H10" s="44"/>
      <c r="I10" s="45"/>
      <c r="J10" s="46"/>
      <c r="K10" s="143"/>
      <c r="L10" s="48"/>
      <c r="M10" s="49"/>
      <c r="N10" s="50"/>
      <c r="O10" s="51"/>
      <c r="P10" s="52"/>
      <c r="Q10" s="53"/>
      <c r="R10" s="54"/>
      <c r="S10" s="55"/>
      <c r="T10" s="56">
        <f t="shared" si="1"/>
        <v>0</v>
      </c>
      <c r="U10" s="56">
        <f t="shared" si="2"/>
        <v>0</v>
      </c>
      <c r="V10" s="56">
        <f>T10*1.43</f>
        <v>0</v>
      </c>
      <c r="W10" s="57">
        <f t="shared" si="3"/>
        <v>0</v>
      </c>
    </row>
    <row r="11" ht="129.75" customHeight="1">
      <c r="B11" s="39" t="s">
        <v>82</v>
      </c>
      <c r="C11" s="40"/>
      <c r="D11" s="41">
        <v>10.0</v>
      </c>
      <c r="E11" s="41" t="s">
        <v>83</v>
      </c>
      <c r="F11" s="42">
        <v>139.0</v>
      </c>
      <c r="G11" s="43"/>
      <c r="H11" s="44"/>
      <c r="I11" s="45"/>
      <c r="J11" s="46"/>
      <c r="K11" s="143"/>
      <c r="L11" s="48"/>
      <c r="M11" s="49"/>
      <c r="N11" s="50"/>
      <c r="O11" s="51"/>
      <c r="P11" s="52"/>
      <c r="Q11" s="53"/>
      <c r="R11" s="54"/>
      <c r="S11" s="55"/>
      <c r="T11" s="56">
        <f t="shared" si="1"/>
        <v>0</v>
      </c>
      <c r="U11" s="56">
        <f t="shared" si="2"/>
        <v>0</v>
      </c>
      <c r="V11" s="56">
        <f>T11*2.52</f>
        <v>0</v>
      </c>
      <c r="W11" s="57">
        <f t="shared" si="3"/>
        <v>0</v>
      </c>
    </row>
    <row r="12" ht="129.75" customHeight="1">
      <c r="B12" s="58" t="s">
        <v>84</v>
      </c>
      <c r="C12" s="59"/>
      <c r="D12" s="60">
        <v>10.0</v>
      </c>
      <c r="E12" s="60" t="s">
        <v>85</v>
      </c>
      <c r="F12" s="42">
        <v>93.0</v>
      </c>
      <c r="G12" s="61"/>
      <c r="H12" s="62"/>
      <c r="I12" s="63"/>
      <c r="J12" s="64"/>
      <c r="K12" s="80"/>
      <c r="L12" s="66"/>
      <c r="M12" s="67"/>
      <c r="N12" s="68"/>
      <c r="O12" s="69"/>
      <c r="P12" s="70"/>
      <c r="Q12" s="71"/>
      <c r="R12" s="72"/>
      <c r="S12" s="73"/>
      <c r="T12" s="74">
        <f t="shared" si="1"/>
        <v>0</v>
      </c>
      <c r="U12" s="74">
        <f t="shared" si="2"/>
        <v>0</v>
      </c>
      <c r="V12" s="74">
        <f>T12*1.5</f>
        <v>0</v>
      </c>
      <c r="W12" s="75">
        <f t="shared" si="3"/>
        <v>0</v>
      </c>
    </row>
    <row r="13" ht="129.75" customHeight="1">
      <c r="B13" s="58" t="s">
        <v>86</v>
      </c>
      <c r="C13" s="59"/>
      <c r="D13" s="60">
        <v>10.0</v>
      </c>
      <c r="E13" s="60" t="s">
        <v>87</v>
      </c>
      <c r="F13" s="42">
        <v>115.0</v>
      </c>
      <c r="G13" s="61"/>
      <c r="H13" s="62"/>
      <c r="I13" s="63"/>
      <c r="J13" s="64"/>
      <c r="K13" s="80"/>
      <c r="L13" s="66"/>
      <c r="M13" s="67"/>
      <c r="N13" s="68"/>
      <c r="O13" s="69"/>
      <c r="P13" s="70"/>
      <c r="Q13" s="71"/>
      <c r="R13" s="72"/>
      <c r="S13" s="73"/>
      <c r="T13" s="74">
        <f t="shared" si="1"/>
        <v>0</v>
      </c>
      <c r="U13" s="74">
        <f t="shared" si="2"/>
        <v>0</v>
      </c>
      <c r="V13" s="74">
        <f>T13*1.98</f>
        <v>0</v>
      </c>
      <c r="W13" s="75">
        <f t="shared" si="3"/>
        <v>0</v>
      </c>
    </row>
    <row r="14" ht="129.75" customHeight="1">
      <c r="B14" s="58" t="s">
        <v>88</v>
      </c>
      <c r="C14" s="59"/>
      <c r="D14" s="60">
        <v>10.0</v>
      </c>
      <c r="E14" s="60" t="s">
        <v>89</v>
      </c>
      <c r="F14" s="42">
        <v>97.0</v>
      </c>
      <c r="G14" s="61"/>
      <c r="H14" s="62"/>
      <c r="I14" s="63"/>
      <c r="J14" s="64"/>
      <c r="K14" s="80"/>
      <c r="L14" s="66"/>
      <c r="M14" s="67"/>
      <c r="N14" s="68"/>
      <c r="O14" s="69"/>
      <c r="P14" s="70"/>
      <c r="Q14" s="71"/>
      <c r="R14" s="72"/>
      <c r="S14" s="73"/>
      <c r="T14" s="74">
        <f t="shared" si="1"/>
        <v>0</v>
      </c>
      <c r="U14" s="74">
        <f t="shared" si="2"/>
        <v>0</v>
      </c>
      <c r="V14" s="74">
        <f>T14*1.58</f>
        <v>0</v>
      </c>
      <c r="W14" s="75">
        <f t="shared" si="3"/>
        <v>0</v>
      </c>
    </row>
    <row r="15" ht="129.75" customHeight="1">
      <c r="B15" s="58" t="s">
        <v>90</v>
      </c>
      <c r="C15" s="59"/>
      <c r="D15" s="60">
        <v>10.0</v>
      </c>
      <c r="E15" s="60" t="s">
        <v>91</v>
      </c>
      <c r="F15" s="42">
        <v>94.0</v>
      </c>
      <c r="G15" s="61"/>
      <c r="H15" s="62"/>
      <c r="I15" s="63"/>
      <c r="J15" s="64"/>
      <c r="K15" s="80"/>
      <c r="L15" s="66"/>
      <c r="M15" s="67"/>
      <c r="N15" s="68"/>
      <c r="O15" s="69"/>
      <c r="P15" s="70"/>
      <c r="Q15" s="71"/>
      <c r="R15" s="72"/>
      <c r="S15" s="73"/>
      <c r="T15" s="74">
        <f t="shared" si="1"/>
        <v>0</v>
      </c>
      <c r="U15" s="74">
        <f t="shared" si="2"/>
        <v>0</v>
      </c>
      <c r="V15" s="74">
        <f>T15*1.52</f>
        <v>0</v>
      </c>
      <c r="W15" s="75">
        <f t="shared" si="3"/>
        <v>0</v>
      </c>
    </row>
    <row r="16" ht="129.75" customHeight="1">
      <c r="B16" s="58" t="s">
        <v>92</v>
      </c>
      <c r="C16" s="59"/>
      <c r="D16" s="60">
        <v>3.0</v>
      </c>
      <c r="E16" s="60" t="s">
        <v>93</v>
      </c>
      <c r="F16" s="42">
        <v>84.0</v>
      </c>
      <c r="G16" s="61"/>
      <c r="H16" s="62"/>
      <c r="I16" s="63"/>
      <c r="J16" s="64"/>
      <c r="K16" s="80"/>
      <c r="L16" s="66"/>
      <c r="M16" s="67"/>
      <c r="N16" s="68"/>
      <c r="O16" s="69"/>
      <c r="P16" s="70"/>
      <c r="Q16" s="71"/>
      <c r="R16" s="72"/>
      <c r="S16" s="73"/>
      <c r="T16" s="74">
        <f t="shared" si="1"/>
        <v>0</v>
      </c>
      <c r="U16" s="74">
        <f t="shared" si="2"/>
        <v>0</v>
      </c>
      <c r="V16" s="74">
        <f>T16*0.95</f>
        <v>0</v>
      </c>
      <c r="W16" s="75">
        <f t="shared" si="3"/>
        <v>0</v>
      </c>
    </row>
    <row r="17" ht="129.75" customHeight="1">
      <c r="B17" s="58" t="s">
        <v>94</v>
      </c>
      <c r="C17" s="59"/>
      <c r="D17" s="60">
        <v>10.0</v>
      </c>
      <c r="E17" s="60" t="s">
        <v>95</v>
      </c>
      <c r="F17" s="42">
        <v>132.0</v>
      </c>
      <c r="G17" s="61"/>
      <c r="H17" s="62"/>
      <c r="I17" s="63"/>
      <c r="J17" s="64"/>
      <c r="K17" s="80"/>
      <c r="L17" s="66"/>
      <c r="M17" s="67"/>
      <c r="N17" s="68"/>
      <c r="O17" s="69"/>
      <c r="P17" s="70"/>
      <c r="Q17" s="71"/>
      <c r="R17" s="72"/>
      <c r="S17" s="73"/>
      <c r="T17" s="74">
        <f t="shared" si="1"/>
        <v>0</v>
      </c>
      <c r="U17" s="74">
        <f t="shared" si="2"/>
        <v>0</v>
      </c>
      <c r="V17" s="74">
        <f>T17*2.4</f>
        <v>0</v>
      </c>
      <c r="W17" s="75">
        <f t="shared" si="3"/>
        <v>0</v>
      </c>
    </row>
    <row r="18" ht="129.75" customHeight="1">
      <c r="B18" s="58" t="s">
        <v>96</v>
      </c>
      <c r="C18" s="59"/>
      <c r="D18" s="60">
        <v>10.0</v>
      </c>
      <c r="E18" s="60" t="s">
        <v>97</v>
      </c>
      <c r="F18" s="42">
        <v>174.0</v>
      </c>
      <c r="G18" s="61"/>
      <c r="H18" s="62"/>
      <c r="I18" s="63"/>
      <c r="J18" s="64"/>
      <c r="K18" s="80"/>
      <c r="L18" s="66"/>
      <c r="M18" s="67"/>
      <c r="N18" s="68"/>
      <c r="O18" s="69"/>
      <c r="P18" s="70"/>
      <c r="Q18" s="71"/>
      <c r="R18" s="72"/>
      <c r="S18" s="73"/>
      <c r="T18" s="74">
        <f t="shared" si="1"/>
        <v>0</v>
      </c>
      <c r="U18" s="74">
        <f t="shared" si="2"/>
        <v>0</v>
      </c>
      <c r="V18" s="74">
        <f>T18*3.31</f>
        <v>0</v>
      </c>
      <c r="W18" s="75">
        <f t="shared" si="3"/>
        <v>0</v>
      </c>
    </row>
    <row r="19" ht="129.75" customHeight="1">
      <c r="B19" s="58" t="s">
        <v>98</v>
      </c>
      <c r="C19" s="59"/>
      <c r="D19" s="60">
        <v>5.0</v>
      </c>
      <c r="E19" s="60" t="s">
        <v>99</v>
      </c>
      <c r="F19" s="42">
        <v>100.0</v>
      </c>
      <c r="G19" s="61"/>
      <c r="H19" s="62"/>
      <c r="I19" s="63"/>
      <c r="J19" s="64"/>
      <c r="K19" s="80"/>
      <c r="L19" s="66"/>
      <c r="M19" s="67"/>
      <c r="N19" s="68"/>
      <c r="O19" s="69"/>
      <c r="P19" s="70"/>
      <c r="Q19" s="71"/>
      <c r="R19" s="72"/>
      <c r="S19" s="73"/>
      <c r="T19" s="74">
        <f t="shared" si="1"/>
        <v>0</v>
      </c>
      <c r="U19" s="74">
        <f t="shared" ref="U19:U20" si="4">+D19*T19</f>
        <v>0</v>
      </c>
      <c r="V19" s="74">
        <f>T19*1.96</f>
        <v>0</v>
      </c>
      <c r="W19" s="75">
        <f t="shared" si="3"/>
        <v>0</v>
      </c>
    </row>
    <row r="20" ht="129.75" customHeight="1">
      <c r="B20" s="58" t="s">
        <v>100</v>
      </c>
      <c r="C20" s="59"/>
      <c r="D20" s="60">
        <v>5.0</v>
      </c>
      <c r="E20" s="60" t="s">
        <v>101</v>
      </c>
      <c r="F20" s="42">
        <v>61.0</v>
      </c>
      <c r="G20" s="61"/>
      <c r="H20" s="62"/>
      <c r="I20" s="63"/>
      <c r="J20" s="64"/>
      <c r="K20" s="80"/>
      <c r="L20" s="66"/>
      <c r="M20" s="67"/>
      <c r="N20" s="68"/>
      <c r="O20" s="69"/>
      <c r="P20" s="70"/>
      <c r="Q20" s="71"/>
      <c r="R20" s="72"/>
      <c r="S20" s="73"/>
      <c r="T20" s="74">
        <f t="shared" si="1"/>
        <v>0</v>
      </c>
      <c r="U20" s="74">
        <f t="shared" si="4"/>
        <v>0</v>
      </c>
      <c r="V20" s="74">
        <f>T20*1.1</f>
        <v>0</v>
      </c>
      <c r="W20" s="75">
        <f t="shared" si="3"/>
        <v>0</v>
      </c>
    </row>
    <row r="21" ht="129.75" customHeight="1">
      <c r="B21" s="58" t="s">
        <v>102</v>
      </c>
      <c r="C21" s="59"/>
      <c r="D21" s="60">
        <v>5.0</v>
      </c>
      <c r="E21" s="60" t="s">
        <v>103</v>
      </c>
      <c r="F21" s="42">
        <v>64.0</v>
      </c>
      <c r="G21" s="61"/>
      <c r="H21" s="62"/>
      <c r="I21" s="63"/>
      <c r="J21" s="64"/>
      <c r="K21" s="80"/>
      <c r="L21" s="66"/>
      <c r="M21" s="67"/>
      <c r="N21" s="68"/>
      <c r="O21" s="69"/>
      <c r="P21" s="70"/>
      <c r="Q21" s="71"/>
      <c r="R21" s="72"/>
      <c r="S21" s="73"/>
      <c r="T21" s="74">
        <f t="shared" si="1"/>
        <v>0</v>
      </c>
      <c r="U21" s="74">
        <f>T21*D21</f>
        <v>0</v>
      </c>
      <c r="V21" s="74">
        <f>T21*1.14</f>
        <v>0</v>
      </c>
      <c r="W21" s="75">
        <f t="shared" si="3"/>
        <v>0</v>
      </c>
    </row>
    <row r="22" ht="129.75" customHeight="1">
      <c r="B22" s="58" t="s">
        <v>104</v>
      </c>
      <c r="C22" s="59"/>
      <c r="D22" s="60">
        <v>5.0</v>
      </c>
      <c r="E22" s="60" t="s">
        <v>105</v>
      </c>
      <c r="F22" s="42">
        <v>135.0</v>
      </c>
      <c r="G22" s="61"/>
      <c r="H22" s="62"/>
      <c r="I22" s="63"/>
      <c r="J22" s="64"/>
      <c r="K22" s="80"/>
      <c r="L22" s="66"/>
      <c r="M22" s="67"/>
      <c r="N22" s="68"/>
      <c r="O22" s="69"/>
      <c r="P22" s="70"/>
      <c r="Q22" s="71"/>
      <c r="R22" s="72"/>
      <c r="S22" s="73"/>
      <c r="T22" s="74">
        <f t="shared" si="1"/>
        <v>0</v>
      </c>
      <c r="U22" s="74">
        <f t="shared" ref="U22:U23" si="5">D22*T22</f>
        <v>0</v>
      </c>
      <c r="V22" s="74">
        <f>T22*1.52</f>
        <v>0</v>
      </c>
      <c r="W22" s="75">
        <f t="shared" si="3"/>
        <v>0</v>
      </c>
    </row>
    <row r="23" ht="129.75" customHeight="1">
      <c r="B23" s="58" t="s">
        <v>106</v>
      </c>
      <c r="C23" s="59"/>
      <c r="D23" s="60">
        <v>5.0</v>
      </c>
      <c r="E23" s="60" t="s">
        <v>107</v>
      </c>
      <c r="F23" s="42">
        <v>132.0</v>
      </c>
      <c r="G23" s="61"/>
      <c r="H23" s="62"/>
      <c r="I23" s="63"/>
      <c r="J23" s="64"/>
      <c r="K23" s="80"/>
      <c r="L23" s="66"/>
      <c r="M23" s="67"/>
      <c r="N23" s="68"/>
      <c r="O23" s="69"/>
      <c r="P23" s="70"/>
      <c r="Q23" s="71"/>
      <c r="R23" s="72"/>
      <c r="S23" s="73"/>
      <c r="T23" s="74">
        <f t="shared" si="1"/>
        <v>0</v>
      </c>
      <c r="U23" s="74">
        <f t="shared" si="5"/>
        <v>0</v>
      </c>
      <c r="V23" s="74">
        <f>T23*2.68</f>
        <v>0</v>
      </c>
      <c r="W23" s="75">
        <f t="shared" si="3"/>
        <v>0</v>
      </c>
    </row>
    <row r="24" ht="129.75" customHeight="1">
      <c r="B24" s="58" t="s">
        <v>108</v>
      </c>
      <c r="C24" s="59"/>
      <c r="D24" s="60">
        <v>5.0</v>
      </c>
      <c r="E24" s="60" t="s">
        <v>109</v>
      </c>
      <c r="F24" s="42">
        <v>102.0</v>
      </c>
      <c r="G24" s="61"/>
      <c r="H24" s="62"/>
      <c r="I24" s="63"/>
      <c r="J24" s="64"/>
      <c r="K24" s="80"/>
      <c r="L24" s="66"/>
      <c r="M24" s="67"/>
      <c r="N24" s="68"/>
      <c r="O24" s="69"/>
      <c r="P24" s="70"/>
      <c r="Q24" s="71"/>
      <c r="R24" s="72"/>
      <c r="S24" s="73"/>
      <c r="T24" s="74">
        <f t="shared" si="1"/>
        <v>0</v>
      </c>
      <c r="U24" s="74">
        <f t="shared" ref="U24:U26" si="6">T24*D24</f>
        <v>0</v>
      </c>
      <c r="V24" s="74">
        <f>T24*2</f>
        <v>0</v>
      </c>
      <c r="W24" s="75">
        <f t="shared" si="3"/>
        <v>0</v>
      </c>
    </row>
    <row r="25" ht="129.75" customHeight="1">
      <c r="B25" s="58" t="s">
        <v>110</v>
      </c>
      <c r="C25" s="59"/>
      <c r="D25" s="60">
        <v>5.0</v>
      </c>
      <c r="E25" s="60" t="s">
        <v>111</v>
      </c>
      <c r="F25" s="42">
        <v>141.0</v>
      </c>
      <c r="G25" s="61"/>
      <c r="H25" s="62"/>
      <c r="I25" s="63"/>
      <c r="J25" s="64"/>
      <c r="K25" s="80"/>
      <c r="L25" s="66"/>
      <c r="M25" s="67"/>
      <c r="N25" s="68"/>
      <c r="O25" s="69"/>
      <c r="P25" s="70"/>
      <c r="Q25" s="71"/>
      <c r="R25" s="72"/>
      <c r="S25" s="73"/>
      <c r="T25" s="74">
        <f t="shared" si="1"/>
        <v>0</v>
      </c>
      <c r="U25" s="74">
        <f t="shared" si="6"/>
        <v>0</v>
      </c>
      <c r="V25" s="74">
        <f>T25*1.63</f>
        <v>0</v>
      </c>
      <c r="W25" s="75">
        <f t="shared" si="3"/>
        <v>0</v>
      </c>
    </row>
    <row r="26" ht="129.75" customHeight="1">
      <c r="B26" s="58" t="s">
        <v>112</v>
      </c>
      <c r="C26" s="59"/>
      <c r="D26" s="60">
        <v>5.0</v>
      </c>
      <c r="E26" s="60" t="s">
        <v>113</v>
      </c>
      <c r="F26" s="42">
        <v>96.0</v>
      </c>
      <c r="G26" s="61"/>
      <c r="H26" s="62"/>
      <c r="I26" s="63"/>
      <c r="J26" s="64"/>
      <c r="K26" s="80"/>
      <c r="L26" s="66"/>
      <c r="M26" s="67"/>
      <c r="N26" s="68"/>
      <c r="O26" s="69"/>
      <c r="P26" s="70"/>
      <c r="Q26" s="71"/>
      <c r="R26" s="72"/>
      <c r="S26" s="73"/>
      <c r="T26" s="74">
        <f t="shared" si="1"/>
        <v>0</v>
      </c>
      <c r="U26" s="74">
        <f t="shared" si="6"/>
        <v>0</v>
      </c>
      <c r="V26" s="74">
        <f>T26*1.86</f>
        <v>0</v>
      </c>
      <c r="W26" s="75">
        <f t="shared" si="3"/>
        <v>0</v>
      </c>
    </row>
    <row r="27" ht="129.75" customHeight="1">
      <c r="B27" s="58" t="s">
        <v>114</v>
      </c>
      <c r="C27" s="59"/>
      <c r="D27" s="60">
        <v>3.0</v>
      </c>
      <c r="E27" s="60" t="s">
        <v>115</v>
      </c>
      <c r="F27" s="42">
        <v>114.0</v>
      </c>
      <c r="G27" s="61"/>
      <c r="H27" s="62"/>
      <c r="I27" s="63"/>
      <c r="J27" s="64"/>
      <c r="K27" s="80"/>
      <c r="L27" s="66"/>
      <c r="M27" s="67"/>
      <c r="N27" s="68"/>
      <c r="O27" s="69"/>
      <c r="P27" s="70"/>
      <c r="Q27" s="71"/>
      <c r="R27" s="72"/>
      <c r="S27" s="73"/>
      <c r="T27" s="74">
        <f t="shared" si="1"/>
        <v>0</v>
      </c>
      <c r="U27" s="74">
        <f t="shared" ref="U27:U35" si="7">D27*T27</f>
        <v>0</v>
      </c>
      <c r="V27" s="74">
        <f>T27*1.55</f>
        <v>0</v>
      </c>
      <c r="W27" s="75">
        <f t="shared" si="3"/>
        <v>0</v>
      </c>
    </row>
    <row r="28" ht="129.75" customHeight="1">
      <c r="B28" s="144" t="s">
        <v>116</v>
      </c>
      <c r="C28" s="145"/>
      <c r="D28" s="146">
        <v>4.0</v>
      </c>
      <c r="E28" s="146" t="s">
        <v>117</v>
      </c>
      <c r="F28" s="42">
        <v>201.0</v>
      </c>
      <c r="G28" s="86"/>
      <c r="H28" s="87"/>
      <c r="I28" s="88"/>
      <c r="J28" s="89"/>
      <c r="K28" s="90"/>
      <c r="L28" s="91"/>
      <c r="M28" s="92"/>
      <c r="N28" s="93"/>
      <c r="O28" s="94"/>
      <c r="P28" s="95"/>
      <c r="Q28" s="96"/>
      <c r="R28" s="97"/>
      <c r="S28" s="98"/>
      <c r="T28" s="99">
        <f t="shared" si="1"/>
        <v>0</v>
      </c>
      <c r="U28" s="99">
        <f t="shared" si="7"/>
        <v>0</v>
      </c>
      <c r="V28" s="99">
        <f>T28*3.02</f>
        <v>0</v>
      </c>
      <c r="W28" s="100">
        <f t="shared" si="3"/>
        <v>0</v>
      </c>
    </row>
    <row r="29" ht="129.75" customHeight="1">
      <c r="B29" s="144" t="s">
        <v>118</v>
      </c>
      <c r="C29" s="145"/>
      <c r="D29" s="146">
        <v>5.0</v>
      </c>
      <c r="E29" s="146" t="s">
        <v>119</v>
      </c>
      <c r="F29" s="42">
        <v>184.0</v>
      </c>
      <c r="G29" s="86"/>
      <c r="H29" s="87"/>
      <c r="I29" s="88"/>
      <c r="J29" s="89"/>
      <c r="K29" s="90"/>
      <c r="L29" s="91"/>
      <c r="M29" s="92"/>
      <c r="N29" s="93"/>
      <c r="O29" s="94"/>
      <c r="P29" s="95"/>
      <c r="Q29" s="96"/>
      <c r="R29" s="97"/>
      <c r="S29" s="98"/>
      <c r="T29" s="99">
        <f t="shared" si="1"/>
        <v>0</v>
      </c>
      <c r="U29" s="99">
        <f t="shared" si="7"/>
        <v>0</v>
      </c>
      <c r="V29" s="99">
        <f>T29*2.46</f>
        <v>0</v>
      </c>
      <c r="W29" s="100">
        <f t="shared" si="3"/>
        <v>0</v>
      </c>
    </row>
    <row r="30" ht="129.75" customHeight="1">
      <c r="B30" s="144" t="s">
        <v>120</v>
      </c>
      <c r="C30" s="145"/>
      <c r="D30" s="146">
        <v>5.0</v>
      </c>
      <c r="E30" s="146" t="s">
        <v>121</v>
      </c>
      <c r="F30" s="42">
        <v>168.0</v>
      </c>
      <c r="G30" s="86"/>
      <c r="H30" s="87"/>
      <c r="I30" s="88"/>
      <c r="J30" s="89"/>
      <c r="K30" s="90"/>
      <c r="L30" s="91"/>
      <c r="M30" s="92"/>
      <c r="N30" s="93"/>
      <c r="O30" s="94"/>
      <c r="P30" s="95"/>
      <c r="Q30" s="96"/>
      <c r="R30" s="97"/>
      <c r="S30" s="98"/>
      <c r="T30" s="99">
        <f t="shared" si="1"/>
        <v>0</v>
      </c>
      <c r="U30" s="99">
        <f t="shared" si="7"/>
        <v>0</v>
      </c>
      <c r="V30" s="99">
        <f>T30*3.46</f>
        <v>0</v>
      </c>
      <c r="W30" s="100">
        <f t="shared" si="3"/>
        <v>0</v>
      </c>
    </row>
    <row r="31" ht="129.75" customHeight="1">
      <c r="B31" s="58" t="s">
        <v>122</v>
      </c>
      <c r="C31" s="59"/>
      <c r="D31" s="60">
        <v>5.0</v>
      </c>
      <c r="E31" s="60" t="s">
        <v>123</v>
      </c>
      <c r="F31" s="42">
        <v>65.0</v>
      </c>
      <c r="G31" s="61"/>
      <c r="H31" s="62"/>
      <c r="I31" s="63"/>
      <c r="J31" s="64"/>
      <c r="K31" s="80"/>
      <c r="L31" s="66"/>
      <c r="M31" s="67"/>
      <c r="N31" s="68"/>
      <c r="O31" s="69"/>
      <c r="P31" s="70"/>
      <c r="Q31" s="71"/>
      <c r="R31" s="72"/>
      <c r="S31" s="73"/>
      <c r="T31" s="74">
        <f t="shared" si="1"/>
        <v>0</v>
      </c>
      <c r="U31" s="74">
        <f t="shared" si="7"/>
        <v>0</v>
      </c>
      <c r="V31" s="74">
        <f>T31*1.67</f>
        <v>0</v>
      </c>
      <c r="W31" s="75">
        <f t="shared" si="3"/>
        <v>0</v>
      </c>
    </row>
    <row r="32" ht="129.75" customHeight="1">
      <c r="B32" s="58" t="s">
        <v>124</v>
      </c>
      <c r="C32" s="59"/>
      <c r="D32" s="60">
        <v>5.0</v>
      </c>
      <c r="E32" s="60" t="s">
        <v>125</v>
      </c>
      <c r="F32" s="42">
        <v>92.0</v>
      </c>
      <c r="G32" s="61"/>
      <c r="H32" s="62"/>
      <c r="I32" s="63"/>
      <c r="J32" s="64"/>
      <c r="K32" s="80"/>
      <c r="L32" s="66"/>
      <c r="M32" s="67"/>
      <c r="N32" s="68"/>
      <c r="O32" s="69"/>
      <c r="P32" s="70"/>
      <c r="Q32" s="71"/>
      <c r="R32" s="72"/>
      <c r="S32" s="73"/>
      <c r="T32" s="74">
        <f t="shared" si="1"/>
        <v>0</v>
      </c>
      <c r="U32" s="74">
        <f t="shared" si="7"/>
        <v>0</v>
      </c>
      <c r="V32" s="74">
        <f>T32*1.79</f>
        <v>0</v>
      </c>
      <c r="W32" s="75">
        <f t="shared" si="3"/>
        <v>0</v>
      </c>
    </row>
    <row r="33" ht="129.75" customHeight="1">
      <c r="B33" s="58" t="s">
        <v>126</v>
      </c>
      <c r="C33" s="59"/>
      <c r="D33" s="60">
        <v>5.0</v>
      </c>
      <c r="E33" s="60" t="s">
        <v>127</v>
      </c>
      <c r="F33" s="42">
        <v>114.0</v>
      </c>
      <c r="G33" s="61"/>
      <c r="H33" s="62"/>
      <c r="I33" s="63"/>
      <c r="J33" s="64"/>
      <c r="K33" s="80"/>
      <c r="L33" s="66"/>
      <c r="M33" s="67"/>
      <c r="N33" s="68"/>
      <c r="O33" s="69"/>
      <c r="P33" s="70"/>
      <c r="Q33" s="71"/>
      <c r="R33" s="72"/>
      <c r="S33" s="73"/>
      <c r="T33" s="74">
        <f t="shared" si="1"/>
        <v>0</v>
      </c>
      <c r="U33" s="74">
        <f t="shared" si="7"/>
        <v>0</v>
      </c>
      <c r="V33" s="74">
        <f>T33*2.27</f>
        <v>0</v>
      </c>
      <c r="W33" s="75">
        <f t="shared" si="3"/>
        <v>0</v>
      </c>
    </row>
    <row r="34" ht="129.75" customHeight="1">
      <c r="B34" s="144" t="s">
        <v>128</v>
      </c>
      <c r="C34" s="145"/>
      <c r="D34" s="146">
        <v>5.0</v>
      </c>
      <c r="E34" s="146" t="s">
        <v>129</v>
      </c>
      <c r="F34" s="42">
        <v>151.0</v>
      </c>
      <c r="G34" s="86"/>
      <c r="H34" s="87"/>
      <c r="I34" s="88"/>
      <c r="J34" s="89"/>
      <c r="K34" s="90"/>
      <c r="L34" s="91"/>
      <c r="M34" s="92"/>
      <c r="N34" s="93"/>
      <c r="O34" s="94"/>
      <c r="P34" s="95"/>
      <c r="Q34" s="96"/>
      <c r="R34" s="97"/>
      <c r="S34" s="98"/>
      <c r="T34" s="99">
        <f t="shared" si="1"/>
        <v>0</v>
      </c>
      <c r="U34" s="99">
        <f t="shared" si="7"/>
        <v>0</v>
      </c>
      <c r="V34" s="99">
        <f>T34*3.11</f>
        <v>0</v>
      </c>
      <c r="W34" s="100">
        <f t="shared" ref="W34:W35" si="8">+F34*T34</f>
        <v>0</v>
      </c>
    </row>
    <row r="35" ht="129.75" customHeight="1">
      <c r="B35" s="60" t="s">
        <v>130</v>
      </c>
      <c r="C35" s="147"/>
      <c r="D35" s="60">
        <v>5.0</v>
      </c>
      <c r="E35" s="60" t="s">
        <v>131</v>
      </c>
      <c r="F35" s="42">
        <v>170.0</v>
      </c>
      <c r="G35" s="86"/>
      <c r="H35" s="87"/>
      <c r="I35" s="88"/>
      <c r="J35" s="89"/>
      <c r="K35" s="90"/>
      <c r="L35" s="91"/>
      <c r="M35" s="92"/>
      <c r="N35" s="93"/>
      <c r="O35" s="94"/>
      <c r="P35" s="95"/>
      <c r="Q35" s="96"/>
      <c r="R35" s="97"/>
      <c r="S35" s="98"/>
      <c r="T35" s="99">
        <f t="shared" si="1"/>
        <v>0</v>
      </c>
      <c r="U35" s="99">
        <f t="shared" si="7"/>
        <v>0</v>
      </c>
      <c r="V35" s="99">
        <f>T35*3.52</f>
        <v>0</v>
      </c>
      <c r="W35" s="100">
        <f t="shared" si="8"/>
        <v>0</v>
      </c>
    </row>
    <row r="36" ht="15.75" customHeight="1">
      <c r="B36" s="110"/>
      <c r="C36" s="110"/>
      <c r="D36" s="110"/>
      <c r="E36" s="110"/>
      <c r="F36" s="109"/>
      <c r="G36" s="103">
        <f t="shared" ref="G36:U36" si="9">SUM(G5:G35)</f>
        <v>0</v>
      </c>
      <c r="H36" s="103">
        <f t="shared" si="9"/>
        <v>0</v>
      </c>
      <c r="I36" s="103">
        <f t="shared" si="9"/>
        <v>0</v>
      </c>
      <c r="J36" s="103">
        <f t="shared" si="9"/>
        <v>0</v>
      </c>
      <c r="K36" s="103">
        <f t="shared" si="9"/>
        <v>0</v>
      </c>
      <c r="L36" s="103">
        <f t="shared" si="9"/>
        <v>0</v>
      </c>
      <c r="M36" s="103">
        <f t="shared" si="9"/>
        <v>0</v>
      </c>
      <c r="N36" s="103">
        <f t="shared" si="9"/>
        <v>0</v>
      </c>
      <c r="O36" s="103">
        <f t="shared" si="9"/>
        <v>0</v>
      </c>
      <c r="P36" s="103">
        <f t="shared" si="9"/>
        <v>0</v>
      </c>
      <c r="Q36" s="103">
        <f t="shared" si="9"/>
        <v>0</v>
      </c>
      <c r="R36" s="103">
        <f t="shared" si="9"/>
        <v>0</v>
      </c>
      <c r="S36" s="103">
        <f t="shared" si="9"/>
        <v>0</v>
      </c>
      <c r="T36" s="103">
        <f t="shared" si="9"/>
        <v>0</v>
      </c>
      <c r="U36" s="103">
        <f t="shared" si="9"/>
        <v>0</v>
      </c>
      <c r="V36" s="103">
        <f>SUM(V5:V34)</f>
        <v>0</v>
      </c>
      <c r="W36" s="104">
        <f>SUM(W5:W35)</f>
        <v>0</v>
      </c>
    </row>
    <row r="37" ht="15.75" customHeight="1">
      <c r="F37" s="105"/>
    </row>
    <row r="38" ht="15.75" customHeight="1">
      <c r="F38" s="105"/>
    </row>
    <row r="39" ht="15.75" customHeight="1">
      <c r="F39" s="105"/>
    </row>
    <row r="40" ht="15.75" customHeight="1">
      <c r="F40" s="105"/>
    </row>
    <row r="41" ht="15.75" customHeight="1">
      <c r="F41" s="105"/>
    </row>
    <row r="42" ht="15.75" customHeight="1">
      <c r="F42" s="105"/>
    </row>
    <row r="43" ht="15.75" customHeight="1">
      <c r="F43" s="105"/>
    </row>
    <row r="44" ht="15.75" customHeight="1">
      <c r="F44" s="105"/>
    </row>
    <row r="45" ht="15.75" customHeight="1">
      <c r="F45" s="105"/>
    </row>
    <row r="46" ht="15.75" customHeight="1">
      <c r="F46" s="105"/>
    </row>
    <row r="47" ht="15.75" customHeight="1">
      <c r="F47" s="105"/>
    </row>
    <row r="48" ht="15.75" customHeight="1">
      <c r="F48" s="105"/>
    </row>
    <row r="49" ht="15.75" customHeight="1">
      <c r="F49" s="105"/>
    </row>
    <row r="50" ht="15.75" customHeight="1">
      <c r="F50" s="105"/>
    </row>
    <row r="51" ht="15.75" customHeight="1">
      <c r="F51" s="105"/>
    </row>
    <row r="52" ht="15.75" customHeight="1">
      <c r="F52" s="105"/>
    </row>
    <row r="53" ht="15.75" customHeight="1">
      <c r="F53" s="105"/>
    </row>
    <row r="54" ht="15.75" customHeight="1">
      <c r="F54" s="105"/>
    </row>
    <row r="55" ht="15.75" customHeight="1">
      <c r="F55" s="105"/>
    </row>
    <row r="56" ht="15.75" customHeight="1">
      <c r="F56" s="105"/>
    </row>
    <row r="57" ht="15.75" customHeight="1">
      <c r="F57" s="105"/>
    </row>
    <row r="58" ht="15.75" customHeight="1">
      <c r="F58" s="105"/>
    </row>
    <row r="59" ht="15.75" customHeight="1">
      <c r="F59" s="105"/>
    </row>
    <row r="60" ht="15.75" customHeight="1">
      <c r="F60" s="105"/>
    </row>
    <row r="61" ht="15.75" customHeight="1">
      <c r="F61" s="105"/>
    </row>
    <row r="62" ht="15.75" customHeight="1">
      <c r="F62" s="105"/>
    </row>
    <row r="63" ht="15.75" customHeight="1">
      <c r="F63" s="105"/>
    </row>
    <row r="64" ht="15.75" customHeight="1">
      <c r="F64" s="105"/>
    </row>
    <row r="65" ht="15.75" customHeight="1">
      <c r="F65" s="105"/>
    </row>
    <row r="66" ht="15.75" customHeight="1">
      <c r="F66" s="105"/>
    </row>
    <row r="67" ht="15.75" customHeight="1">
      <c r="F67" s="105"/>
    </row>
    <row r="68" ht="15.75" customHeight="1">
      <c r="F68" s="105"/>
    </row>
    <row r="69" ht="15.75" customHeight="1">
      <c r="F69" s="105"/>
    </row>
    <row r="70" ht="15.75" customHeight="1">
      <c r="F70" s="105"/>
    </row>
    <row r="71" ht="15.75" customHeight="1">
      <c r="F71" s="105"/>
    </row>
    <row r="72" ht="15.75" customHeight="1">
      <c r="F72" s="105"/>
    </row>
    <row r="73" ht="15.75" customHeight="1">
      <c r="F73" s="105"/>
    </row>
    <row r="74" ht="15.75" customHeight="1">
      <c r="F74" s="105"/>
    </row>
    <row r="75" ht="15.75" customHeight="1">
      <c r="F75" s="105"/>
    </row>
    <row r="76" ht="15.75" customHeight="1">
      <c r="F76" s="105"/>
    </row>
    <row r="77" ht="15.75" customHeight="1">
      <c r="F77" s="105"/>
    </row>
    <row r="78" ht="15.75" customHeight="1">
      <c r="F78" s="105"/>
    </row>
    <row r="79" ht="15.75" customHeight="1">
      <c r="F79" s="105"/>
    </row>
    <row r="80" ht="15.75" customHeight="1">
      <c r="F80" s="105"/>
    </row>
    <row r="81" ht="15.75" customHeight="1">
      <c r="F81" s="105"/>
    </row>
    <row r="82" ht="15.75" customHeight="1">
      <c r="F82" s="105"/>
    </row>
    <row r="83" ht="15.75" customHeight="1">
      <c r="F83" s="105"/>
    </row>
    <row r="84" ht="15.75" customHeight="1">
      <c r="F84" s="105"/>
    </row>
    <row r="85" ht="15.75" customHeight="1">
      <c r="F85" s="105"/>
    </row>
    <row r="86" ht="15.75" customHeight="1">
      <c r="F86" s="105"/>
    </row>
    <row r="87" ht="15.75" customHeight="1">
      <c r="F87" s="105"/>
    </row>
    <row r="88" ht="15.75" customHeight="1">
      <c r="F88" s="105"/>
    </row>
    <row r="89" ht="15.75" customHeight="1">
      <c r="F89" s="105"/>
    </row>
    <row r="90" ht="15.75" customHeight="1">
      <c r="F90" s="105"/>
    </row>
    <row r="91" ht="15.75" customHeight="1">
      <c r="F91" s="105"/>
    </row>
    <row r="92" ht="15.75" customHeight="1">
      <c r="F92" s="105"/>
    </row>
    <row r="93" ht="15.75" customHeight="1">
      <c r="F93" s="105"/>
    </row>
    <row r="94" ht="15.75" customHeight="1">
      <c r="F94" s="105"/>
    </row>
    <row r="95" ht="15.75" customHeight="1">
      <c r="F95" s="105"/>
    </row>
    <row r="96" ht="15.75" customHeight="1">
      <c r="F96" s="105"/>
    </row>
    <row r="97" ht="15.75" customHeight="1">
      <c r="F97" s="105"/>
    </row>
    <row r="98" ht="15.75" customHeight="1">
      <c r="F98" s="105"/>
    </row>
    <row r="99" ht="15.75" customHeight="1">
      <c r="F99" s="105"/>
    </row>
    <row r="100" ht="15.75" customHeight="1">
      <c r="F100" s="105"/>
    </row>
    <row r="101" ht="15.75" customHeight="1">
      <c r="F101" s="105"/>
    </row>
    <row r="102" ht="15.75" customHeight="1">
      <c r="F102" s="105"/>
    </row>
    <row r="103" ht="15.75" customHeight="1">
      <c r="F103" s="105"/>
    </row>
    <row r="104" ht="15.75" customHeight="1">
      <c r="F104" s="105"/>
    </row>
    <row r="105" ht="15.75" customHeight="1">
      <c r="F105" s="105"/>
    </row>
    <row r="106" ht="15.75" customHeight="1">
      <c r="F106" s="105"/>
    </row>
    <row r="107" ht="15.75" customHeight="1">
      <c r="F107" s="105"/>
    </row>
    <row r="108" ht="15.75" customHeight="1">
      <c r="F108" s="105"/>
    </row>
    <row r="109" ht="15.75" customHeight="1">
      <c r="F109" s="105"/>
    </row>
    <row r="110" ht="15.75" customHeight="1">
      <c r="F110" s="105"/>
    </row>
    <row r="111" ht="15.75" customHeight="1">
      <c r="F111" s="105"/>
    </row>
    <row r="112" ht="15.75" customHeight="1">
      <c r="F112" s="105"/>
    </row>
    <row r="113" ht="15.75" customHeight="1">
      <c r="F113" s="105"/>
    </row>
    <row r="114" ht="15.75" customHeight="1">
      <c r="F114" s="105"/>
    </row>
    <row r="115" ht="15.75" customHeight="1">
      <c r="F115" s="105"/>
    </row>
    <row r="116" ht="15.75" customHeight="1">
      <c r="F116" s="105"/>
    </row>
    <row r="117" ht="15.75" customHeight="1">
      <c r="F117" s="105"/>
    </row>
    <row r="118" ht="15.75" customHeight="1">
      <c r="F118" s="105"/>
    </row>
    <row r="119" ht="15.75" customHeight="1">
      <c r="F119" s="105"/>
    </row>
    <row r="120" ht="15.75" customHeight="1">
      <c r="F120" s="105"/>
    </row>
    <row r="121" ht="15.75" customHeight="1">
      <c r="F121" s="105"/>
    </row>
    <row r="122" ht="15.75" customHeight="1">
      <c r="F122" s="105"/>
    </row>
    <row r="123" ht="15.75" customHeight="1">
      <c r="F123" s="105"/>
    </row>
    <row r="124" ht="15.75" customHeight="1">
      <c r="F124" s="105"/>
    </row>
    <row r="125" ht="15.75" customHeight="1">
      <c r="F125" s="105"/>
    </row>
    <row r="126" ht="15.75" customHeight="1">
      <c r="F126" s="105"/>
    </row>
    <row r="127" ht="15.75" customHeight="1">
      <c r="F127" s="105"/>
    </row>
    <row r="128" ht="15.75" customHeight="1">
      <c r="F128" s="105"/>
    </row>
    <row r="129" ht="15.75" customHeight="1">
      <c r="F129" s="105"/>
    </row>
    <row r="130" ht="15.75" customHeight="1">
      <c r="F130" s="105"/>
    </row>
    <row r="131" ht="15.75" customHeight="1">
      <c r="F131" s="105"/>
    </row>
    <row r="132" ht="15.75" customHeight="1">
      <c r="F132" s="105"/>
    </row>
    <row r="133" ht="15.75" customHeight="1">
      <c r="F133" s="105"/>
    </row>
    <row r="134" ht="15.75" customHeight="1">
      <c r="F134" s="105"/>
    </row>
    <row r="135" ht="15.75" customHeight="1">
      <c r="F135" s="105"/>
    </row>
    <row r="136" ht="15.75" customHeight="1">
      <c r="F136" s="105"/>
    </row>
    <row r="137" ht="15.75" customHeight="1">
      <c r="F137" s="105"/>
    </row>
    <row r="138" ht="15.75" customHeight="1">
      <c r="F138" s="105"/>
    </row>
    <row r="139" ht="15.75" customHeight="1">
      <c r="F139" s="105"/>
    </row>
    <row r="140" ht="15.75" customHeight="1">
      <c r="F140" s="105"/>
    </row>
    <row r="141" ht="15.75" customHeight="1">
      <c r="F141" s="105"/>
    </row>
    <row r="142" ht="15.75" customHeight="1">
      <c r="F142" s="105"/>
    </row>
    <row r="143" ht="15.75" customHeight="1">
      <c r="F143" s="105"/>
    </row>
    <row r="144" ht="15.75" customHeight="1">
      <c r="F144" s="105"/>
    </row>
    <row r="145" ht="15.75" customHeight="1">
      <c r="F145" s="105"/>
    </row>
    <row r="146" ht="15.75" customHeight="1">
      <c r="F146" s="105"/>
    </row>
    <row r="147" ht="15.75" customHeight="1">
      <c r="F147" s="105"/>
    </row>
    <row r="148" ht="15.75" customHeight="1">
      <c r="F148" s="105"/>
    </row>
    <row r="149" ht="15.75" customHeight="1">
      <c r="F149" s="105"/>
    </row>
    <row r="150" ht="15.75" customHeight="1">
      <c r="F150" s="105"/>
    </row>
    <row r="151" ht="15.75" customHeight="1">
      <c r="F151" s="105"/>
    </row>
    <row r="152" ht="15.75" customHeight="1">
      <c r="F152" s="105"/>
    </row>
    <row r="153" ht="15.75" customHeight="1">
      <c r="F153" s="105"/>
    </row>
    <row r="154" ht="15.75" customHeight="1">
      <c r="F154" s="105"/>
    </row>
    <row r="155" ht="15.75" customHeight="1">
      <c r="F155" s="105"/>
    </row>
    <row r="156" ht="15.75" customHeight="1">
      <c r="F156" s="105"/>
    </row>
    <row r="157" ht="15.75" customHeight="1">
      <c r="F157" s="105"/>
    </row>
    <row r="158" ht="15.75" customHeight="1">
      <c r="F158" s="105"/>
    </row>
    <row r="159" ht="15.75" customHeight="1">
      <c r="F159" s="105"/>
    </row>
    <row r="160" ht="15.75" customHeight="1">
      <c r="F160" s="105"/>
    </row>
    <row r="161" ht="15.75" customHeight="1">
      <c r="F161" s="105"/>
    </row>
    <row r="162" ht="15.75" customHeight="1">
      <c r="F162" s="105"/>
    </row>
    <row r="163" ht="15.75" customHeight="1">
      <c r="F163" s="105"/>
    </row>
    <row r="164" ht="15.75" customHeight="1">
      <c r="F164" s="105"/>
    </row>
    <row r="165" ht="15.75" customHeight="1">
      <c r="F165" s="105"/>
    </row>
    <row r="166" ht="15.75" customHeight="1">
      <c r="F166" s="105"/>
    </row>
    <row r="167" ht="15.75" customHeight="1">
      <c r="F167" s="105"/>
    </row>
    <row r="168" ht="15.75" customHeight="1">
      <c r="F168" s="105"/>
    </row>
    <row r="169" ht="15.75" customHeight="1">
      <c r="F169" s="105"/>
    </row>
    <row r="170" ht="15.75" customHeight="1">
      <c r="F170" s="105"/>
    </row>
    <row r="171" ht="15.75" customHeight="1">
      <c r="F171" s="105"/>
    </row>
    <row r="172" ht="15.75" customHeight="1">
      <c r="F172" s="105"/>
    </row>
    <row r="173" ht="15.75" customHeight="1">
      <c r="F173" s="105"/>
    </row>
    <row r="174" ht="15.75" customHeight="1">
      <c r="F174" s="105"/>
    </row>
    <row r="175" ht="15.75" customHeight="1">
      <c r="F175" s="105"/>
    </row>
    <row r="176" ht="15.75" customHeight="1">
      <c r="F176" s="105"/>
    </row>
    <row r="177" ht="15.75" customHeight="1">
      <c r="F177" s="105"/>
    </row>
    <row r="178" ht="15.75" customHeight="1">
      <c r="F178" s="105"/>
    </row>
    <row r="179" ht="15.75" customHeight="1">
      <c r="F179" s="105"/>
    </row>
    <row r="180" ht="15.75" customHeight="1">
      <c r="F180" s="105"/>
    </row>
    <row r="181" ht="15.75" customHeight="1">
      <c r="F181" s="105"/>
    </row>
    <row r="182" ht="15.75" customHeight="1">
      <c r="F182" s="105"/>
    </row>
    <row r="183" ht="15.75" customHeight="1">
      <c r="F183" s="105"/>
    </row>
    <row r="184" ht="15.75" customHeight="1">
      <c r="F184" s="105"/>
    </row>
    <row r="185" ht="15.75" customHeight="1">
      <c r="F185" s="105"/>
    </row>
    <row r="186" ht="15.75" customHeight="1">
      <c r="F186" s="105"/>
    </row>
    <row r="187" ht="15.75" customHeight="1">
      <c r="F187" s="105"/>
    </row>
    <row r="188" ht="15.75" customHeight="1">
      <c r="F188" s="105"/>
    </row>
    <row r="189" ht="15.75" customHeight="1">
      <c r="F189" s="105"/>
    </row>
    <row r="190" ht="15.75" customHeight="1">
      <c r="F190" s="105"/>
    </row>
    <row r="191" ht="15.75" customHeight="1">
      <c r="F191" s="105"/>
    </row>
    <row r="192" ht="15.75" customHeight="1">
      <c r="F192" s="105"/>
    </row>
    <row r="193" ht="15.75" customHeight="1">
      <c r="F193" s="105"/>
    </row>
    <row r="194" ht="15.75" customHeight="1">
      <c r="F194" s="105"/>
    </row>
    <row r="195" ht="15.75" customHeight="1">
      <c r="F195" s="105"/>
    </row>
    <row r="196" ht="15.75" customHeight="1">
      <c r="F196" s="105"/>
    </row>
    <row r="197" ht="15.75" customHeight="1">
      <c r="F197" s="105"/>
    </row>
    <row r="198" ht="15.75" customHeight="1">
      <c r="F198" s="105"/>
    </row>
    <row r="199" ht="15.75" customHeight="1">
      <c r="F199" s="105"/>
    </row>
    <row r="200" ht="15.75" customHeight="1">
      <c r="F200" s="105"/>
    </row>
    <row r="201" ht="15.75" customHeight="1">
      <c r="F201" s="105"/>
    </row>
    <row r="202" ht="15.75" customHeight="1">
      <c r="F202" s="105"/>
    </row>
    <row r="203" ht="15.75" customHeight="1">
      <c r="F203" s="105"/>
    </row>
    <row r="204" ht="15.75" customHeight="1">
      <c r="F204" s="105"/>
    </row>
    <row r="205" ht="15.75" customHeight="1">
      <c r="F205" s="105"/>
    </row>
    <row r="206" ht="15.75" customHeight="1">
      <c r="F206" s="105"/>
    </row>
    <row r="207" ht="15.75" customHeight="1">
      <c r="F207" s="105"/>
    </row>
    <row r="208" ht="15.75" customHeight="1">
      <c r="F208" s="105"/>
    </row>
    <row r="209" ht="15.75" customHeight="1">
      <c r="F209" s="105"/>
    </row>
    <row r="210" ht="15.75" customHeight="1">
      <c r="F210" s="105"/>
    </row>
    <row r="211" ht="15.75" customHeight="1">
      <c r="F211" s="105"/>
    </row>
    <row r="212" ht="15.75" customHeight="1">
      <c r="F212" s="105"/>
    </row>
    <row r="213" ht="15.75" customHeight="1">
      <c r="F213" s="105"/>
    </row>
    <row r="214" ht="15.75" customHeight="1">
      <c r="F214" s="105"/>
    </row>
    <row r="215" ht="15.75" customHeight="1">
      <c r="F215" s="105"/>
    </row>
    <row r="216" ht="15.75" customHeight="1">
      <c r="F216" s="105"/>
    </row>
    <row r="217" ht="15.75" customHeight="1">
      <c r="F217" s="105"/>
    </row>
    <row r="218" ht="15.75" customHeight="1">
      <c r="F218" s="105"/>
    </row>
    <row r="219" ht="15.75" customHeight="1">
      <c r="F219" s="105"/>
    </row>
    <row r="220" ht="15.75" customHeight="1">
      <c r="F220" s="105"/>
    </row>
    <row r="221" ht="15.75" customHeight="1">
      <c r="F221" s="105"/>
    </row>
    <row r="222" ht="15.75" customHeight="1">
      <c r="F222" s="105"/>
    </row>
    <row r="223" ht="15.75" customHeight="1">
      <c r="F223" s="105"/>
    </row>
    <row r="224" ht="15.75" customHeight="1">
      <c r="F224" s="105"/>
    </row>
    <row r="225" ht="15.75" customHeight="1">
      <c r="F225" s="105"/>
    </row>
    <row r="226" ht="15.75" customHeight="1">
      <c r="F226" s="105"/>
    </row>
    <row r="227" ht="15.75" customHeight="1">
      <c r="F227" s="105"/>
    </row>
    <row r="228" ht="15.75" customHeight="1">
      <c r="F228" s="105"/>
    </row>
    <row r="229" ht="15.75" customHeight="1">
      <c r="F229" s="105"/>
    </row>
    <row r="230" ht="15.75" customHeight="1">
      <c r="F230" s="105"/>
    </row>
    <row r="231" ht="15.75" customHeight="1">
      <c r="F231" s="105"/>
    </row>
    <row r="232" ht="15.75" customHeight="1">
      <c r="F232" s="105"/>
    </row>
    <row r="233" ht="15.75" customHeight="1">
      <c r="F233" s="105"/>
    </row>
    <row r="234" ht="15.75" customHeight="1">
      <c r="F234" s="105"/>
    </row>
    <row r="235" ht="15.75" customHeight="1">
      <c r="F235" s="105"/>
    </row>
    <row r="236" ht="15.75" customHeight="1">
      <c r="F236" s="105"/>
    </row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B2:D2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8D08D"/>
    <pageSetUpPr/>
  </sheetPr>
  <sheetViews>
    <sheetView workbookViewId="0"/>
  </sheetViews>
  <sheetFormatPr customHeight="1" defaultColWidth="14.43" defaultRowHeight="15.0"/>
  <cols>
    <col customWidth="1" min="1" max="1" width="9.0"/>
    <col customWidth="1" min="2" max="2" width="16.71"/>
    <col customWidth="1" min="3" max="3" width="19.0"/>
    <col customWidth="1" min="4" max="5" width="9.14"/>
    <col customWidth="1" min="6" max="6" width="10.71"/>
    <col customWidth="1" min="7" max="22" width="9.14"/>
    <col customWidth="1" min="23" max="23" width="11.86"/>
  </cols>
  <sheetData>
    <row r="2">
      <c r="B2" s="148" t="s">
        <v>132</v>
      </c>
    </row>
    <row r="3" ht="13.5" customHeight="1"/>
    <row r="4" ht="30.75" customHeight="1">
      <c r="B4" s="149"/>
      <c r="C4" s="149"/>
      <c r="D4" s="150"/>
      <c r="E4" s="150"/>
      <c r="F4" s="150"/>
      <c r="G4" s="151" t="s">
        <v>1</v>
      </c>
      <c r="H4" s="152" t="s">
        <v>2</v>
      </c>
      <c r="I4" s="153" t="s">
        <v>3</v>
      </c>
      <c r="J4" s="154" t="s">
        <v>4</v>
      </c>
      <c r="K4" s="155" t="s">
        <v>5</v>
      </c>
      <c r="L4" s="156" t="s">
        <v>6</v>
      </c>
      <c r="M4" s="157" t="s">
        <v>7</v>
      </c>
      <c r="N4" s="158" t="s">
        <v>8</v>
      </c>
      <c r="O4" s="159" t="s">
        <v>9</v>
      </c>
      <c r="P4" s="160" t="s">
        <v>10</v>
      </c>
      <c r="Q4" s="161" t="s">
        <v>11</v>
      </c>
      <c r="R4" s="162" t="s">
        <v>12</v>
      </c>
      <c r="S4" s="163" t="s">
        <v>13</v>
      </c>
      <c r="T4" s="110"/>
      <c r="U4" s="110"/>
      <c r="V4" s="110"/>
      <c r="W4" s="110"/>
    </row>
    <row r="5" ht="14.25" customHeight="1">
      <c r="B5" s="15" t="s">
        <v>14</v>
      </c>
      <c r="C5" s="16"/>
      <c r="D5" s="17" t="s">
        <v>16</v>
      </c>
      <c r="E5" s="17" t="s">
        <v>17</v>
      </c>
      <c r="F5" s="17" t="s">
        <v>133</v>
      </c>
      <c r="G5" s="19">
        <v>2.0</v>
      </c>
      <c r="H5" s="20">
        <v>5.0</v>
      </c>
      <c r="I5" s="21">
        <v>7.0</v>
      </c>
      <c r="J5" s="22">
        <v>10.0</v>
      </c>
      <c r="K5" s="23">
        <v>11.0</v>
      </c>
      <c r="L5" s="24">
        <v>12.0</v>
      </c>
      <c r="M5" s="25">
        <v>13.0</v>
      </c>
      <c r="N5" s="26">
        <v>16.0</v>
      </c>
      <c r="O5" s="27">
        <v>69.0</v>
      </c>
      <c r="P5" s="28">
        <v>76.0</v>
      </c>
      <c r="Q5" s="29">
        <v>77.0</v>
      </c>
      <c r="R5" s="30">
        <v>79.0</v>
      </c>
      <c r="S5" s="31">
        <v>81.0</v>
      </c>
      <c r="T5" s="32" t="s">
        <v>19</v>
      </c>
      <c r="U5" s="32" t="s">
        <v>20</v>
      </c>
      <c r="V5" s="32" t="s">
        <v>21</v>
      </c>
      <c r="W5" s="164" t="s">
        <v>22</v>
      </c>
    </row>
    <row r="6">
      <c r="B6" s="110"/>
      <c r="C6" s="110"/>
      <c r="D6" s="165" t="s">
        <v>134</v>
      </c>
      <c r="E6" s="166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24"/>
      <c r="T6" s="110"/>
      <c r="U6" s="110"/>
      <c r="V6" s="110"/>
      <c r="W6" s="167"/>
    </row>
    <row r="7" ht="99.75" customHeight="1">
      <c r="B7" s="125" t="s">
        <v>23</v>
      </c>
      <c r="C7" s="168"/>
      <c r="D7" s="127">
        <v>10.0</v>
      </c>
      <c r="E7" s="127" t="s">
        <v>135</v>
      </c>
      <c r="F7" s="42">
        <v>115.0</v>
      </c>
      <c r="G7" s="169"/>
      <c r="H7" s="170"/>
      <c r="I7" s="171"/>
      <c r="J7" s="172"/>
      <c r="K7" s="173"/>
      <c r="L7" s="174"/>
      <c r="M7" s="175"/>
      <c r="N7" s="176"/>
      <c r="O7" s="177"/>
      <c r="P7" s="178"/>
      <c r="Q7" s="179"/>
      <c r="R7" s="141"/>
      <c r="S7" s="180"/>
      <c r="T7" s="141">
        <f t="shared" ref="T7:T18" si="1">SUM(G7:S7)</f>
        <v>0</v>
      </c>
      <c r="U7" s="141">
        <f t="shared" ref="U7:U18" si="2">D7*T7</f>
        <v>0</v>
      </c>
      <c r="V7" s="141">
        <f>T7*1.98</f>
        <v>0</v>
      </c>
      <c r="W7" s="142">
        <f t="shared" ref="W7:W11" si="3">F7*T7</f>
        <v>0</v>
      </c>
    </row>
    <row r="8" ht="99.75" customHeight="1">
      <c r="B8" s="58" t="s">
        <v>37</v>
      </c>
      <c r="C8" s="181"/>
      <c r="D8" s="60">
        <v>10.0</v>
      </c>
      <c r="E8" s="60" t="s">
        <v>136</v>
      </c>
      <c r="F8" s="42">
        <v>152.0</v>
      </c>
      <c r="G8" s="182"/>
      <c r="H8" s="183"/>
      <c r="I8" s="184"/>
      <c r="J8" s="185"/>
      <c r="K8" s="186"/>
      <c r="L8" s="187"/>
      <c r="M8" s="188"/>
      <c r="N8" s="189"/>
      <c r="O8" s="190"/>
      <c r="P8" s="191"/>
      <c r="Q8" s="192"/>
      <c r="R8" s="74"/>
      <c r="S8" s="193"/>
      <c r="T8" s="74">
        <f t="shared" si="1"/>
        <v>0</v>
      </c>
      <c r="U8" s="74">
        <f t="shared" si="2"/>
        <v>0</v>
      </c>
      <c r="V8" s="74">
        <f>T8*2.82</f>
        <v>0</v>
      </c>
      <c r="W8" s="75">
        <f t="shared" si="3"/>
        <v>0</v>
      </c>
    </row>
    <row r="9" ht="99.75" customHeight="1">
      <c r="B9" s="58" t="s">
        <v>43</v>
      </c>
      <c r="C9" s="181"/>
      <c r="D9" s="60">
        <v>10.0</v>
      </c>
      <c r="E9" s="60" t="s">
        <v>137</v>
      </c>
      <c r="F9" s="42">
        <v>267.0</v>
      </c>
      <c r="G9" s="182"/>
      <c r="H9" s="183"/>
      <c r="I9" s="184"/>
      <c r="J9" s="185"/>
      <c r="K9" s="186"/>
      <c r="L9" s="187"/>
      <c r="M9" s="188"/>
      <c r="N9" s="189"/>
      <c r="O9" s="190"/>
      <c r="P9" s="191"/>
      <c r="Q9" s="192"/>
      <c r="R9" s="74"/>
      <c r="S9" s="193"/>
      <c r="T9" s="74">
        <f t="shared" si="1"/>
        <v>0</v>
      </c>
      <c r="U9" s="74">
        <f t="shared" si="2"/>
        <v>0</v>
      </c>
      <c r="V9" s="74">
        <f>T9*5.41</f>
        <v>0</v>
      </c>
      <c r="W9" s="75">
        <f t="shared" si="3"/>
        <v>0</v>
      </c>
    </row>
    <row r="10" ht="99.75" customHeight="1">
      <c r="B10" s="58" t="s">
        <v>138</v>
      </c>
      <c r="C10" s="181"/>
      <c r="D10" s="60">
        <v>5.0</v>
      </c>
      <c r="E10" s="60" t="s">
        <v>139</v>
      </c>
      <c r="F10" s="42">
        <v>165.0</v>
      </c>
      <c r="G10" s="182"/>
      <c r="H10" s="183"/>
      <c r="I10" s="184"/>
      <c r="J10" s="185"/>
      <c r="K10" s="186"/>
      <c r="L10" s="187"/>
      <c r="M10" s="188"/>
      <c r="N10" s="189"/>
      <c r="O10" s="190"/>
      <c r="P10" s="191"/>
      <c r="Q10" s="192"/>
      <c r="R10" s="74"/>
      <c r="S10" s="193"/>
      <c r="T10" s="74">
        <f t="shared" si="1"/>
        <v>0</v>
      </c>
      <c r="U10" s="74">
        <f t="shared" si="2"/>
        <v>0</v>
      </c>
      <c r="V10" s="74">
        <f>T10*2.1</f>
        <v>0</v>
      </c>
      <c r="W10" s="75">
        <f t="shared" si="3"/>
        <v>0</v>
      </c>
    </row>
    <row r="11" ht="99.75" customHeight="1">
      <c r="B11" s="58" t="s">
        <v>140</v>
      </c>
      <c r="C11" s="181"/>
      <c r="D11" s="60">
        <v>10.0</v>
      </c>
      <c r="E11" s="60" t="s">
        <v>141</v>
      </c>
      <c r="F11" s="42">
        <v>398.0</v>
      </c>
      <c r="G11" s="182"/>
      <c r="H11" s="183"/>
      <c r="I11" s="184"/>
      <c r="J11" s="185"/>
      <c r="K11" s="186"/>
      <c r="L11" s="187"/>
      <c r="M11" s="188"/>
      <c r="N11" s="189"/>
      <c r="O11" s="190"/>
      <c r="P11" s="191"/>
      <c r="Q11" s="192"/>
      <c r="R11" s="74"/>
      <c r="S11" s="193"/>
      <c r="T11" s="74">
        <f t="shared" si="1"/>
        <v>0</v>
      </c>
      <c r="U11" s="74">
        <f t="shared" si="2"/>
        <v>0</v>
      </c>
      <c r="V11" s="74">
        <f>T11*5.48</f>
        <v>0</v>
      </c>
      <c r="W11" s="75">
        <f t="shared" si="3"/>
        <v>0</v>
      </c>
    </row>
    <row r="12" ht="99.75" customHeight="1">
      <c r="B12" s="58" t="s">
        <v>142</v>
      </c>
      <c r="C12" s="181"/>
      <c r="D12" s="60">
        <v>3.0</v>
      </c>
      <c r="E12" s="60" t="s">
        <v>143</v>
      </c>
      <c r="F12" s="42">
        <v>129.0</v>
      </c>
      <c r="G12" s="182"/>
      <c r="H12" s="183"/>
      <c r="I12" s="184"/>
      <c r="J12" s="185"/>
      <c r="K12" s="186"/>
      <c r="L12" s="187"/>
      <c r="M12" s="188"/>
      <c r="N12" s="189"/>
      <c r="O12" s="190"/>
      <c r="P12" s="191"/>
      <c r="Q12" s="192"/>
      <c r="R12" s="74"/>
      <c r="S12" s="193"/>
      <c r="T12" s="74">
        <f t="shared" si="1"/>
        <v>0</v>
      </c>
      <c r="U12" s="74">
        <f t="shared" si="2"/>
        <v>0</v>
      </c>
      <c r="V12" s="74">
        <f>T12*1.83</f>
        <v>0</v>
      </c>
      <c r="W12" s="75">
        <f t="shared" ref="W12:W15" si="4">T12*F12</f>
        <v>0</v>
      </c>
    </row>
    <row r="13" ht="99.75" customHeight="1">
      <c r="B13" s="58" t="s">
        <v>144</v>
      </c>
      <c r="C13" s="181"/>
      <c r="D13" s="60">
        <v>5.0</v>
      </c>
      <c r="E13" s="60" t="s">
        <v>145</v>
      </c>
      <c r="F13" s="42">
        <v>319.0</v>
      </c>
      <c r="G13" s="182"/>
      <c r="H13" s="183"/>
      <c r="I13" s="184"/>
      <c r="J13" s="185"/>
      <c r="K13" s="186"/>
      <c r="L13" s="187"/>
      <c r="M13" s="188"/>
      <c r="N13" s="189"/>
      <c r="O13" s="190"/>
      <c r="P13" s="191"/>
      <c r="Q13" s="192"/>
      <c r="R13" s="74"/>
      <c r="S13" s="193"/>
      <c r="T13" s="74">
        <f t="shared" si="1"/>
        <v>0</v>
      </c>
      <c r="U13" s="74">
        <f t="shared" si="2"/>
        <v>0</v>
      </c>
      <c r="V13" s="74">
        <f>T13*5.1</f>
        <v>0</v>
      </c>
      <c r="W13" s="75">
        <f t="shared" si="4"/>
        <v>0</v>
      </c>
    </row>
    <row r="14" ht="99.75" customHeight="1">
      <c r="B14" s="58" t="s">
        <v>146</v>
      </c>
      <c r="C14" s="181"/>
      <c r="D14" s="60">
        <v>3.0</v>
      </c>
      <c r="E14" s="60" t="s">
        <v>147</v>
      </c>
      <c r="F14" s="42">
        <v>167.0</v>
      </c>
      <c r="G14" s="182"/>
      <c r="H14" s="183"/>
      <c r="I14" s="184"/>
      <c r="J14" s="185"/>
      <c r="K14" s="186"/>
      <c r="L14" s="187"/>
      <c r="M14" s="188"/>
      <c r="N14" s="189"/>
      <c r="O14" s="190"/>
      <c r="P14" s="191"/>
      <c r="Q14" s="192"/>
      <c r="R14" s="74"/>
      <c r="S14" s="193"/>
      <c r="T14" s="74">
        <f t="shared" si="1"/>
        <v>0</v>
      </c>
      <c r="U14" s="74">
        <f t="shared" si="2"/>
        <v>0</v>
      </c>
      <c r="V14" s="74">
        <f>T14*2.6</f>
        <v>0</v>
      </c>
      <c r="W14" s="75">
        <f t="shared" si="4"/>
        <v>0</v>
      </c>
    </row>
    <row r="15" ht="99.75" customHeight="1">
      <c r="B15" s="58" t="s">
        <v>148</v>
      </c>
      <c r="C15" s="181"/>
      <c r="D15" s="60">
        <v>3.0</v>
      </c>
      <c r="E15" s="60" t="s">
        <v>149</v>
      </c>
      <c r="F15" s="42">
        <v>215.0</v>
      </c>
      <c r="G15" s="182"/>
      <c r="H15" s="183"/>
      <c r="I15" s="184"/>
      <c r="J15" s="185"/>
      <c r="K15" s="186"/>
      <c r="L15" s="187"/>
      <c r="M15" s="188"/>
      <c r="N15" s="189"/>
      <c r="O15" s="190"/>
      <c r="P15" s="191"/>
      <c r="Q15" s="192"/>
      <c r="R15" s="74"/>
      <c r="S15" s="193"/>
      <c r="T15" s="74">
        <f t="shared" si="1"/>
        <v>0</v>
      </c>
      <c r="U15" s="74">
        <f t="shared" si="2"/>
        <v>0</v>
      </c>
      <c r="V15" s="74">
        <f>T15*3.5</f>
        <v>0</v>
      </c>
      <c r="W15" s="75">
        <f t="shared" si="4"/>
        <v>0</v>
      </c>
    </row>
    <row r="16" ht="99.75" customHeight="1">
      <c r="B16" s="58" t="s">
        <v>150</v>
      </c>
      <c r="C16" s="181"/>
      <c r="D16" s="60">
        <v>1.0</v>
      </c>
      <c r="E16" s="60" t="s">
        <v>151</v>
      </c>
      <c r="F16" s="42">
        <v>185.0</v>
      </c>
      <c r="G16" s="182"/>
      <c r="H16" s="183"/>
      <c r="I16" s="184"/>
      <c r="J16" s="185"/>
      <c r="K16" s="186"/>
      <c r="L16" s="187"/>
      <c r="M16" s="188"/>
      <c r="N16" s="189"/>
      <c r="O16" s="190"/>
      <c r="P16" s="191"/>
      <c r="Q16" s="192"/>
      <c r="R16" s="74"/>
      <c r="S16" s="193"/>
      <c r="T16" s="74">
        <f t="shared" si="1"/>
        <v>0</v>
      </c>
      <c r="U16" s="74">
        <f t="shared" si="2"/>
        <v>0</v>
      </c>
      <c r="V16" s="74">
        <f>T16*3.4</f>
        <v>0</v>
      </c>
      <c r="W16" s="75">
        <f t="shared" ref="W16:W18" si="5">F16*T16</f>
        <v>0</v>
      </c>
    </row>
    <row r="17" ht="99.75" customHeight="1">
      <c r="B17" s="58" t="s">
        <v>152</v>
      </c>
      <c r="C17" s="181"/>
      <c r="D17" s="60">
        <v>1.0</v>
      </c>
      <c r="E17" s="60" t="s">
        <v>153</v>
      </c>
      <c r="F17" s="42">
        <v>218.0</v>
      </c>
      <c r="G17" s="182"/>
      <c r="H17" s="183"/>
      <c r="I17" s="184"/>
      <c r="J17" s="185"/>
      <c r="K17" s="186"/>
      <c r="L17" s="187"/>
      <c r="M17" s="188"/>
      <c r="N17" s="189"/>
      <c r="O17" s="190"/>
      <c r="P17" s="191"/>
      <c r="Q17" s="192"/>
      <c r="R17" s="74"/>
      <c r="S17" s="193"/>
      <c r="T17" s="74">
        <f t="shared" si="1"/>
        <v>0</v>
      </c>
      <c r="U17" s="74">
        <f t="shared" si="2"/>
        <v>0</v>
      </c>
      <c r="V17" s="74">
        <f>T17*4</f>
        <v>0</v>
      </c>
      <c r="W17" s="75">
        <f t="shared" si="5"/>
        <v>0</v>
      </c>
    </row>
    <row r="18" ht="99.75" customHeight="1">
      <c r="B18" s="83" t="s">
        <v>154</v>
      </c>
      <c r="C18" s="194"/>
      <c r="D18" s="85">
        <v>1.0</v>
      </c>
      <c r="E18" s="85" t="s">
        <v>155</v>
      </c>
      <c r="F18" s="42">
        <v>200.0</v>
      </c>
      <c r="G18" s="195"/>
      <c r="H18" s="196"/>
      <c r="I18" s="197"/>
      <c r="J18" s="198"/>
      <c r="K18" s="199"/>
      <c r="L18" s="200"/>
      <c r="M18" s="201"/>
      <c r="N18" s="202"/>
      <c r="O18" s="203"/>
      <c r="P18" s="204"/>
      <c r="Q18" s="205"/>
      <c r="R18" s="206"/>
      <c r="S18" s="207"/>
      <c r="T18" s="206">
        <f t="shared" si="1"/>
        <v>0</v>
      </c>
      <c r="U18" s="206">
        <f t="shared" si="2"/>
        <v>0</v>
      </c>
      <c r="V18" s="206">
        <f>T18*3.7</f>
        <v>0</v>
      </c>
      <c r="W18" s="208">
        <f t="shared" si="5"/>
        <v>0</v>
      </c>
    </row>
    <row r="19">
      <c r="F19" s="209"/>
      <c r="G19" s="210">
        <f t="shared" ref="G19:W19" si="6">SUM(G7:G18)</f>
        <v>0</v>
      </c>
      <c r="H19" s="210">
        <f t="shared" si="6"/>
        <v>0</v>
      </c>
      <c r="I19" s="210">
        <f t="shared" si="6"/>
        <v>0</v>
      </c>
      <c r="J19" s="210">
        <f t="shared" si="6"/>
        <v>0</v>
      </c>
      <c r="K19" s="210">
        <f t="shared" si="6"/>
        <v>0</v>
      </c>
      <c r="L19" s="210">
        <f t="shared" si="6"/>
        <v>0</v>
      </c>
      <c r="M19" s="210">
        <f t="shared" si="6"/>
        <v>0</v>
      </c>
      <c r="N19" s="210">
        <f t="shared" si="6"/>
        <v>0</v>
      </c>
      <c r="O19" s="210">
        <f t="shared" si="6"/>
        <v>0</v>
      </c>
      <c r="P19" s="210">
        <f t="shared" si="6"/>
        <v>0</v>
      </c>
      <c r="Q19" s="210">
        <f t="shared" si="6"/>
        <v>0</v>
      </c>
      <c r="R19" s="210">
        <f t="shared" si="6"/>
        <v>0</v>
      </c>
      <c r="S19" s="210">
        <f t="shared" si="6"/>
        <v>0</v>
      </c>
      <c r="T19" s="210">
        <f t="shared" si="6"/>
        <v>0</v>
      </c>
      <c r="U19" s="210">
        <f t="shared" si="6"/>
        <v>0</v>
      </c>
      <c r="V19" s="210">
        <f t="shared" si="6"/>
        <v>0</v>
      </c>
      <c r="W19" s="211">
        <f t="shared" si="6"/>
        <v>0</v>
      </c>
    </row>
    <row r="20">
      <c r="F20" s="209"/>
      <c r="J20" s="212"/>
      <c r="W20" s="213"/>
    </row>
    <row r="21" ht="15.75" customHeight="1">
      <c r="B21" s="214"/>
      <c r="C21" s="214"/>
      <c r="D21" s="215" t="s">
        <v>156</v>
      </c>
      <c r="E21" s="108"/>
      <c r="F21" s="216"/>
      <c r="G21" s="110"/>
      <c r="H21" s="110"/>
      <c r="I21" s="110"/>
      <c r="J21" s="124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67"/>
    </row>
    <row r="22" ht="15.75" customHeight="1">
      <c r="B22" s="214"/>
      <c r="C22" s="214"/>
      <c r="D22" s="101"/>
      <c r="E22" s="214"/>
      <c r="F22" s="216"/>
      <c r="G22" s="110"/>
      <c r="H22" s="110"/>
      <c r="I22" s="110"/>
      <c r="J22" s="124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67"/>
    </row>
    <row r="23" ht="99.75" customHeight="1">
      <c r="B23" s="125" t="s">
        <v>25</v>
      </c>
      <c r="C23" s="127"/>
      <c r="D23" s="127">
        <v>10.0</v>
      </c>
      <c r="E23" s="127" t="s">
        <v>157</v>
      </c>
      <c r="F23" s="42">
        <v>64.0</v>
      </c>
      <c r="G23" s="169"/>
      <c r="H23" s="170"/>
      <c r="I23" s="171"/>
      <c r="J23" s="172"/>
      <c r="K23" s="173"/>
      <c r="L23" s="174"/>
      <c r="M23" s="175"/>
      <c r="N23" s="176"/>
      <c r="O23" s="177"/>
      <c r="P23" s="178"/>
      <c r="Q23" s="179"/>
      <c r="R23" s="141"/>
      <c r="S23" s="180"/>
      <c r="T23" s="141">
        <f t="shared" ref="T23:T48" si="7">SUM(G23:S23)</f>
        <v>0</v>
      </c>
      <c r="U23" s="141">
        <f t="shared" ref="U23:U27" si="8">D23*T23</f>
        <v>0</v>
      </c>
      <c r="V23" s="141">
        <f>T23*0.83</f>
        <v>0</v>
      </c>
      <c r="W23" s="142">
        <f>F23*T23</f>
        <v>0</v>
      </c>
    </row>
    <row r="24" ht="99.75" customHeight="1">
      <c r="B24" s="58" t="s">
        <v>75</v>
      </c>
      <c r="C24" s="60"/>
      <c r="D24" s="60">
        <v>10.0</v>
      </c>
      <c r="E24" s="60" t="s">
        <v>158</v>
      </c>
      <c r="F24" s="42">
        <v>45.0</v>
      </c>
      <c r="G24" s="182"/>
      <c r="H24" s="183"/>
      <c r="I24" s="184"/>
      <c r="J24" s="185"/>
      <c r="K24" s="186"/>
      <c r="L24" s="187"/>
      <c r="M24" s="188"/>
      <c r="N24" s="189"/>
      <c r="O24" s="190"/>
      <c r="P24" s="191"/>
      <c r="Q24" s="192"/>
      <c r="R24" s="74"/>
      <c r="S24" s="193"/>
      <c r="T24" s="74">
        <f t="shared" si="7"/>
        <v>0</v>
      </c>
      <c r="U24" s="74">
        <f t="shared" si="8"/>
        <v>0</v>
      </c>
      <c r="V24" s="74">
        <f>T24*0.43</f>
        <v>0</v>
      </c>
      <c r="W24" s="75">
        <f t="shared" ref="W24:W48" si="9">T24*F24</f>
        <v>0</v>
      </c>
    </row>
    <row r="25" ht="99.75" customHeight="1">
      <c r="B25" s="58" t="s">
        <v>78</v>
      </c>
      <c r="C25" s="60"/>
      <c r="D25" s="60">
        <v>9.0</v>
      </c>
      <c r="E25" s="60" t="s">
        <v>159</v>
      </c>
      <c r="F25" s="42">
        <v>112.0</v>
      </c>
      <c r="G25" s="182"/>
      <c r="H25" s="183"/>
      <c r="I25" s="184"/>
      <c r="J25" s="185"/>
      <c r="K25" s="186"/>
      <c r="L25" s="187"/>
      <c r="M25" s="188"/>
      <c r="N25" s="189"/>
      <c r="O25" s="190"/>
      <c r="P25" s="191"/>
      <c r="Q25" s="192"/>
      <c r="R25" s="74"/>
      <c r="S25" s="193"/>
      <c r="T25" s="74">
        <f t="shared" si="7"/>
        <v>0</v>
      </c>
      <c r="U25" s="74">
        <f t="shared" si="8"/>
        <v>0</v>
      </c>
      <c r="V25" s="74">
        <f>T25*2.02</f>
        <v>0</v>
      </c>
      <c r="W25" s="75">
        <f t="shared" si="9"/>
        <v>0</v>
      </c>
    </row>
    <row r="26" ht="99.75" customHeight="1">
      <c r="B26" s="58" t="s">
        <v>160</v>
      </c>
      <c r="C26" s="60"/>
      <c r="D26" s="60">
        <v>5.0</v>
      </c>
      <c r="E26" s="60" t="s">
        <v>161</v>
      </c>
      <c r="F26" s="42">
        <v>113.0</v>
      </c>
      <c r="G26" s="182"/>
      <c r="H26" s="183"/>
      <c r="I26" s="184"/>
      <c r="J26" s="185"/>
      <c r="K26" s="186"/>
      <c r="L26" s="187"/>
      <c r="M26" s="188"/>
      <c r="N26" s="189"/>
      <c r="O26" s="190"/>
      <c r="P26" s="191"/>
      <c r="Q26" s="192"/>
      <c r="R26" s="74"/>
      <c r="S26" s="193"/>
      <c r="T26" s="74">
        <f t="shared" si="7"/>
        <v>0</v>
      </c>
      <c r="U26" s="74">
        <f t="shared" si="8"/>
        <v>0</v>
      </c>
      <c r="V26" s="74">
        <f>T26*2.29</f>
        <v>0</v>
      </c>
      <c r="W26" s="75">
        <f t="shared" si="9"/>
        <v>0</v>
      </c>
    </row>
    <row r="27" ht="99.75" customHeight="1">
      <c r="B27" s="58" t="s">
        <v>162</v>
      </c>
      <c r="C27" s="60"/>
      <c r="D27" s="60">
        <v>5.0</v>
      </c>
      <c r="E27" s="60" t="s">
        <v>163</v>
      </c>
      <c r="F27" s="42">
        <v>111.0</v>
      </c>
      <c r="G27" s="182"/>
      <c r="H27" s="183"/>
      <c r="I27" s="184"/>
      <c r="J27" s="185"/>
      <c r="K27" s="186"/>
      <c r="L27" s="187"/>
      <c r="M27" s="188"/>
      <c r="N27" s="189"/>
      <c r="O27" s="190"/>
      <c r="P27" s="191"/>
      <c r="Q27" s="192"/>
      <c r="R27" s="74"/>
      <c r="S27" s="193"/>
      <c r="T27" s="74">
        <f t="shared" si="7"/>
        <v>0</v>
      </c>
      <c r="U27" s="74">
        <f t="shared" si="8"/>
        <v>0</v>
      </c>
      <c r="V27" s="74">
        <f>T27*2.2</f>
        <v>0</v>
      </c>
      <c r="W27" s="75">
        <f t="shared" si="9"/>
        <v>0</v>
      </c>
    </row>
    <row r="28" ht="99.75" customHeight="1">
      <c r="B28" s="58" t="s">
        <v>164</v>
      </c>
      <c r="C28" s="60"/>
      <c r="D28" s="60">
        <v>5.0</v>
      </c>
      <c r="E28" s="60" t="s">
        <v>165</v>
      </c>
      <c r="F28" s="42">
        <v>133.0</v>
      </c>
      <c r="G28" s="182"/>
      <c r="H28" s="183"/>
      <c r="I28" s="184"/>
      <c r="J28" s="185"/>
      <c r="K28" s="186"/>
      <c r="L28" s="187"/>
      <c r="M28" s="188"/>
      <c r="N28" s="189"/>
      <c r="O28" s="190"/>
      <c r="P28" s="191"/>
      <c r="Q28" s="192"/>
      <c r="R28" s="74"/>
      <c r="S28" s="193"/>
      <c r="T28" s="74">
        <f t="shared" si="7"/>
        <v>0</v>
      </c>
      <c r="U28" s="74">
        <f>T28*D28</f>
        <v>0</v>
      </c>
      <c r="V28" s="74">
        <f>T28*1.5</f>
        <v>0</v>
      </c>
      <c r="W28" s="75">
        <f t="shared" si="9"/>
        <v>0</v>
      </c>
    </row>
    <row r="29" ht="99.75" customHeight="1">
      <c r="B29" s="58" t="s">
        <v>84</v>
      </c>
      <c r="C29" s="60"/>
      <c r="D29" s="60">
        <v>10.0</v>
      </c>
      <c r="E29" s="60" t="s">
        <v>166</v>
      </c>
      <c r="F29" s="42">
        <v>122.0</v>
      </c>
      <c r="G29" s="182"/>
      <c r="H29" s="183"/>
      <c r="I29" s="184"/>
      <c r="J29" s="185"/>
      <c r="K29" s="186"/>
      <c r="L29" s="187"/>
      <c r="M29" s="188"/>
      <c r="N29" s="189"/>
      <c r="O29" s="190"/>
      <c r="P29" s="191"/>
      <c r="Q29" s="192"/>
      <c r="R29" s="74"/>
      <c r="S29" s="193"/>
      <c r="T29" s="74">
        <f t="shared" si="7"/>
        <v>0</v>
      </c>
      <c r="U29" s="74">
        <f t="shared" ref="U29:U48" si="10">D29*T29</f>
        <v>0</v>
      </c>
      <c r="V29" s="74">
        <f>T29*2.14</f>
        <v>0</v>
      </c>
      <c r="W29" s="75">
        <f t="shared" si="9"/>
        <v>0</v>
      </c>
    </row>
    <row r="30" ht="99.75" customHeight="1">
      <c r="B30" s="58" t="s">
        <v>94</v>
      </c>
      <c r="C30" s="60"/>
      <c r="D30" s="60">
        <v>5.0</v>
      </c>
      <c r="E30" s="60" t="s">
        <v>167</v>
      </c>
      <c r="F30" s="42">
        <v>122.0</v>
      </c>
      <c r="G30" s="182"/>
      <c r="H30" s="183"/>
      <c r="I30" s="184"/>
      <c r="J30" s="185"/>
      <c r="K30" s="186"/>
      <c r="L30" s="187"/>
      <c r="M30" s="188"/>
      <c r="N30" s="189"/>
      <c r="O30" s="190"/>
      <c r="P30" s="191"/>
      <c r="Q30" s="192"/>
      <c r="R30" s="74"/>
      <c r="S30" s="193"/>
      <c r="T30" s="74">
        <f t="shared" si="7"/>
        <v>0</v>
      </c>
      <c r="U30" s="74">
        <f t="shared" si="10"/>
        <v>0</v>
      </c>
      <c r="V30" s="74">
        <f>T30*2.24</f>
        <v>0</v>
      </c>
      <c r="W30" s="75">
        <f t="shared" si="9"/>
        <v>0</v>
      </c>
    </row>
    <row r="31" ht="99.75" customHeight="1">
      <c r="B31" s="58" t="s">
        <v>168</v>
      </c>
      <c r="C31" s="60"/>
      <c r="D31" s="60">
        <v>5.0</v>
      </c>
      <c r="E31" s="60" t="s">
        <v>169</v>
      </c>
      <c r="F31" s="42">
        <v>156.0</v>
      </c>
      <c r="G31" s="182"/>
      <c r="H31" s="183"/>
      <c r="I31" s="184"/>
      <c r="J31" s="185"/>
      <c r="K31" s="186"/>
      <c r="L31" s="187"/>
      <c r="M31" s="188"/>
      <c r="N31" s="189"/>
      <c r="O31" s="190"/>
      <c r="P31" s="191"/>
      <c r="Q31" s="192"/>
      <c r="R31" s="74"/>
      <c r="S31" s="193"/>
      <c r="T31" s="74">
        <f t="shared" si="7"/>
        <v>0</v>
      </c>
      <c r="U31" s="74">
        <f t="shared" si="10"/>
        <v>0</v>
      </c>
      <c r="V31" s="74">
        <f>T31*1.92</f>
        <v>0</v>
      </c>
      <c r="W31" s="75">
        <f t="shared" si="9"/>
        <v>0</v>
      </c>
    </row>
    <row r="32" ht="99.75" customHeight="1">
      <c r="B32" s="58" t="s">
        <v>170</v>
      </c>
      <c r="C32" s="60"/>
      <c r="D32" s="60">
        <v>5.0</v>
      </c>
      <c r="E32" s="60" t="s">
        <v>171</v>
      </c>
      <c r="F32" s="42">
        <v>155.0</v>
      </c>
      <c r="G32" s="182"/>
      <c r="H32" s="183"/>
      <c r="I32" s="184"/>
      <c r="J32" s="185"/>
      <c r="K32" s="186"/>
      <c r="L32" s="187"/>
      <c r="M32" s="188"/>
      <c r="N32" s="189"/>
      <c r="O32" s="190"/>
      <c r="P32" s="191"/>
      <c r="Q32" s="192"/>
      <c r="R32" s="74"/>
      <c r="S32" s="193"/>
      <c r="T32" s="74">
        <f t="shared" si="7"/>
        <v>0</v>
      </c>
      <c r="U32" s="74">
        <f t="shared" si="10"/>
        <v>0</v>
      </c>
      <c r="V32" s="74">
        <f>T32*1.9</f>
        <v>0</v>
      </c>
      <c r="W32" s="75">
        <f t="shared" si="9"/>
        <v>0</v>
      </c>
    </row>
    <row r="33" ht="99.75" customHeight="1">
      <c r="B33" s="58" t="s">
        <v>172</v>
      </c>
      <c r="C33" s="60"/>
      <c r="D33" s="60">
        <v>5.0</v>
      </c>
      <c r="E33" s="60" t="s">
        <v>173</v>
      </c>
      <c r="F33" s="42">
        <v>261.0</v>
      </c>
      <c r="G33" s="182"/>
      <c r="H33" s="183"/>
      <c r="I33" s="184"/>
      <c r="J33" s="185"/>
      <c r="K33" s="186"/>
      <c r="L33" s="187"/>
      <c r="M33" s="188"/>
      <c r="N33" s="189"/>
      <c r="O33" s="190"/>
      <c r="P33" s="191"/>
      <c r="Q33" s="192"/>
      <c r="R33" s="74"/>
      <c r="S33" s="193"/>
      <c r="T33" s="74">
        <f t="shared" si="7"/>
        <v>0</v>
      </c>
      <c r="U33" s="74">
        <f t="shared" si="10"/>
        <v>0</v>
      </c>
      <c r="V33" s="74">
        <f>T33*3.95</f>
        <v>0</v>
      </c>
      <c r="W33" s="75">
        <f t="shared" si="9"/>
        <v>0</v>
      </c>
    </row>
    <row r="34" ht="99.75" customHeight="1">
      <c r="B34" s="58" t="s">
        <v>174</v>
      </c>
      <c r="C34" s="60"/>
      <c r="D34" s="60">
        <v>3.0</v>
      </c>
      <c r="E34" s="60" t="s">
        <v>175</v>
      </c>
      <c r="F34" s="42">
        <v>159.0</v>
      </c>
      <c r="G34" s="182"/>
      <c r="H34" s="183"/>
      <c r="I34" s="184"/>
      <c r="J34" s="185"/>
      <c r="K34" s="186"/>
      <c r="L34" s="187"/>
      <c r="M34" s="188"/>
      <c r="N34" s="189"/>
      <c r="O34" s="190"/>
      <c r="P34" s="191"/>
      <c r="Q34" s="192"/>
      <c r="R34" s="74"/>
      <c r="S34" s="193"/>
      <c r="T34" s="74">
        <f t="shared" si="7"/>
        <v>0</v>
      </c>
      <c r="U34" s="74">
        <f t="shared" si="10"/>
        <v>0</v>
      </c>
      <c r="V34" s="74">
        <f>T34*2.4</f>
        <v>0</v>
      </c>
      <c r="W34" s="75">
        <f t="shared" si="9"/>
        <v>0</v>
      </c>
    </row>
    <row r="35" ht="99.75" customHeight="1">
      <c r="B35" s="58" t="s">
        <v>176</v>
      </c>
      <c r="C35" s="60"/>
      <c r="D35" s="60">
        <v>3.0</v>
      </c>
      <c r="E35" s="60" t="s">
        <v>177</v>
      </c>
      <c r="F35" s="42">
        <v>239.0</v>
      </c>
      <c r="G35" s="182"/>
      <c r="H35" s="183"/>
      <c r="I35" s="184"/>
      <c r="J35" s="185"/>
      <c r="K35" s="186"/>
      <c r="L35" s="187"/>
      <c r="M35" s="188"/>
      <c r="N35" s="189"/>
      <c r="O35" s="190"/>
      <c r="P35" s="191"/>
      <c r="Q35" s="192"/>
      <c r="R35" s="74"/>
      <c r="S35" s="193"/>
      <c r="T35" s="74">
        <f t="shared" si="7"/>
        <v>0</v>
      </c>
      <c r="U35" s="74">
        <f t="shared" si="10"/>
        <v>0</v>
      </c>
      <c r="V35" s="74">
        <f>T35*3.94</f>
        <v>0</v>
      </c>
      <c r="W35" s="75">
        <f t="shared" si="9"/>
        <v>0</v>
      </c>
    </row>
    <row r="36" ht="99.75" customHeight="1">
      <c r="B36" s="58" t="s">
        <v>178</v>
      </c>
      <c r="C36" s="217"/>
      <c r="D36" s="60">
        <v>5.0</v>
      </c>
      <c r="E36" s="60" t="s">
        <v>179</v>
      </c>
      <c r="F36" s="42">
        <v>189.0</v>
      </c>
      <c r="G36" s="182"/>
      <c r="H36" s="183"/>
      <c r="I36" s="184"/>
      <c r="J36" s="185"/>
      <c r="K36" s="186"/>
      <c r="L36" s="187"/>
      <c r="M36" s="188"/>
      <c r="N36" s="189"/>
      <c r="O36" s="190"/>
      <c r="P36" s="191"/>
      <c r="Q36" s="192"/>
      <c r="R36" s="74"/>
      <c r="S36" s="193"/>
      <c r="T36" s="74">
        <f t="shared" si="7"/>
        <v>0</v>
      </c>
      <c r="U36" s="74">
        <f t="shared" si="10"/>
        <v>0</v>
      </c>
      <c r="V36" s="74">
        <f>T36*2.55</f>
        <v>0</v>
      </c>
      <c r="W36" s="75">
        <f t="shared" si="9"/>
        <v>0</v>
      </c>
    </row>
    <row r="37" ht="99.75" customHeight="1">
      <c r="B37" s="58" t="s">
        <v>180</v>
      </c>
      <c r="C37" s="217"/>
      <c r="D37" s="60">
        <v>4.0</v>
      </c>
      <c r="E37" s="60" t="s">
        <v>181</v>
      </c>
      <c r="F37" s="42">
        <v>237.0</v>
      </c>
      <c r="G37" s="182"/>
      <c r="H37" s="183"/>
      <c r="I37" s="184"/>
      <c r="J37" s="185"/>
      <c r="K37" s="186"/>
      <c r="L37" s="187"/>
      <c r="M37" s="188"/>
      <c r="N37" s="189"/>
      <c r="O37" s="190"/>
      <c r="P37" s="191"/>
      <c r="Q37" s="192"/>
      <c r="R37" s="74"/>
      <c r="S37" s="193"/>
      <c r="T37" s="74">
        <f t="shared" si="7"/>
        <v>0</v>
      </c>
      <c r="U37" s="74">
        <f t="shared" si="10"/>
        <v>0</v>
      </c>
      <c r="V37" s="74">
        <f>T37*3.7</f>
        <v>0</v>
      </c>
      <c r="W37" s="75">
        <f t="shared" si="9"/>
        <v>0</v>
      </c>
    </row>
    <row r="38" ht="99.75" customHeight="1">
      <c r="B38" s="58" t="s">
        <v>182</v>
      </c>
      <c r="C38" s="60"/>
      <c r="D38" s="60">
        <v>5.0</v>
      </c>
      <c r="E38" s="60" t="s">
        <v>183</v>
      </c>
      <c r="F38" s="42">
        <v>161.0</v>
      </c>
      <c r="G38" s="182"/>
      <c r="H38" s="183"/>
      <c r="I38" s="184"/>
      <c r="J38" s="185"/>
      <c r="K38" s="186"/>
      <c r="L38" s="187"/>
      <c r="M38" s="188"/>
      <c r="N38" s="189"/>
      <c r="O38" s="190"/>
      <c r="P38" s="191"/>
      <c r="Q38" s="192"/>
      <c r="R38" s="74"/>
      <c r="S38" s="193"/>
      <c r="T38" s="74">
        <f t="shared" si="7"/>
        <v>0</v>
      </c>
      <c r="U38" s="74">
        <f t="shared" si="10"/>
        <v>0</v>
      </c>
      <c r="V38" s="74">
        <f>T38*2.1</f>
        <v>0</v>
      </c>
      <c r="W38" s="75">
        <f t="shared" si="9"/>
        <v>0</v>
      </c>
    </row>
    <row r="39" ht="99.75" customHeight="1">
      <c r="B39" s="58" t="s">
        <v>184</v>
      </c>
      <c r="C39" s="60"/>
      <c r="D39" s="60">
        <v>5.0</v>
      </c>
      <c r="E39" s="60" t="s">
        <v>185</v>
      </c>
      <c r="F39" s="42">
        <v>161.0</v>
      </c>
      <c r="G39" s="182"/>
      <c r="H39" s="183"/>
      <c r="I39" s="184"/>
      <c r="J39" s="185"/>
      <c r="K39" s="186"/>
      <c r="L39" s="187"/>
      <c r="M39" s="188"/>
      <c r="N39" s="189"/>
      <c r="O39" s="190"/>
      <c r="P39" s="191"/>
      <c r="Q39" s="192"/>
      <c r="R39" s="74"/>
      <c r="S39" s="193"/>
      <c r="T39" s="74">
        <f t="shared" si="7"/>
        <v>0</v>
      </c>
      <c r="U39" s="74">
        <f t="shared" si="10"/>
        <v>0</v>
      </c>
      <c r="V39" s="74">
        <f>T39*2.02</f>
        <v>0</v>
      </c>
      <c r="W39" s="75">
        <f t="shared" si="9"/>
        <v>0</v>
      </c>
    </row>
    <row r="40" ht="99.75" customHeight="1">
      <c r="B40" s="58" t="s">
        <v>186</v>
      </c>
      <c r="C40" s="60"/>
      <c r="D40" s="60">
        <v>5.0</v>
      </c>
      <c r="E40" s="60" t="s">
        <v>187</v>
      </c>
      <c r="F40" s="42">
        <v>192.0</v>
      </c>
      <c r="G40" s="182"/>
      <c r="H40" s="183"/>
      <c r="I40" s="184"/>
      <c r="J40" s="185"/>
      <c r="K40" s="186"/>
      <c r="L40" s="187"/>
      <c r="M40" s="188"/>
      <c r="N40" s="189"/>
      <c r="O40" s="190"/>
      <c r="P40" s="191"/>
      <c r="Q40" s="192"/>
      <c r="R40" s="74"/>
      <c r="S40" s="193"/>
      <c r="T40" s="74">
        <f t="shared" si="7"/>
        <v>0</v>
      </c>
      <c r="U40" s="74">
        <f t="shared" si="10"/>
        <v>0</v>
      </c>
      <c r="V40" s="74">
        <f>T40*2.6</f>
        <v>0</v>
      </c>
      <c r="W40" s="75">
        <f t="shared" si="9"/>
        <v>0</v>
      </c>
    </row>
    <row r="41" ht="99.75" customHeight="1">
      <c r="B41" s="58" t="s">
        <v>188</v>
      </c>
      <c r="C41" s="60"/>
      <c r="D41" s="60">
        <v>5.0</v>
      </c>
      <c r="E41" s="60" t="s">
        <v>189</v>
      </c>
      <c r="F41" s="42">
        <v>238.0</v>
      </c>
      <c r="G41" s="182"/>
      <c r="H41" s="183"/>
      <c r="I41" s="184"/>
      <c r="J41" s="185"/>
      <c r="K41" s="186"/>
      <c r="L41" s="187"/>
      <c r="M41" s="188"/>
      <c r="N41" s="189"/>
      <c r="O41" s="190"/>
      <c r="P41" s="191"/>
      <c r="Q41" s="192"/>
      <c r="R41" s="74"/>
      <c r="S41" s="193"/>
      <c r="T41" s="74">
        <f t="shared" si="7"/>
        <v>0</v>
      </c>
      <c r="U41" s="74">
        <f t="shared" si="10"/>
        <v>0</v>
      </c>
      <c r="V41" s="74">
        <f>T41*3.5</f>
        <v>0</v>
      </c>
      <c r="W41" s="75">
        <f t="shared" si="9"/>
        <v>0</v>
      </c>
    </row>
    <row r="42" ht="99.75" customHeight="1">
      <c r="B42" s="58" t="s">
        <v>190</v>
      </c>
      <c r="C42" s="60"/>
      <c r="D42" s="60">
        <v>3.0</v>
      </c>
      <c r="E42" s="60" t="s">
        <v>191</v>
      </c>
      <c r="F42" s="42">
        <v>161.0</v>
      </c>
      <c r="G42" s="182"/>
      <c r="H42" s="183"/>
      <c r="I42" s="184"/>
      <c r="J42" s="185"/>
      <c r="K42" s="186"/>
      <c r="L42" s="187"/>
      <c r="M42" s="188"/>
      <c r="N42" s="189"/>
      <c r="O42" s="190"/>
      <c r="P42" s="191"/>
      <c r="Q42" s="192"/>
      <c r="R42" s="74"/>
      <c r="S42" s="193"/>
      <c r="T42" s="74">
        <f t="shared" si="7"/>
        <v>0</v>
      </c>
      <c r="U42" s="74">
        <f t="shared" si="10"/>
        <v>0</v>
      </c>
      <c r="V42" s="74">
        <f>T42*2.44</f>
        <v>0</v>
      </c>
      <c r="W42" s="75">
        <f t="shared" si="9"/>
        <v>0</v>
      </c>
    </row>
    <row r="43" ht="99.75" customHeight="1">
      <c r="B43" s="58" t="s">
        <v>192</v>
      </c>
      <c r="C43" s="60"/>
      <c r="D43" s="60">
        <v>2.0</v>
      </c>
      <c r="E43" s="60" t="s">
        <v>193</v>
      </c>
      <c r="F43" s="42">
        <v>215.0</v>
      </c>
      <c r="G43" s="182"/>
      <c r="H43" s="183"/>
      <c r="I43" s="184"/>
      <c r="J43" s="185"/>
      <c r="K43" s="186"/>
      <c r="L43" s="187"/>
      <c r="M43" s="188"/>
      <c r="N43" s="189"/>
      <c r="O43" s="190"/>
      <c r="P43" s="191"/>
      <c r="Q43" s="192"/>
      <c r="R43" s="74"/>
      <c r="S43" s="193"/>
      <c r="T43" s="74">
        <f t="shared" si="7"/>
        <v>0</v>
      </c>
      <c r="U43" s="74">
        <f t="shared" si="10"/>
        <v>0</v>
      </c>
      <c r="V43" s="74">
        <f>T43*3.72</f>
        <v>0</v>
      </c>
      <c r="W43" s="75">
        <f t="shared" si="9"/>
        <v>0</v>
      </c>
    </row>
    <row r="44" ht="99.75" customHeight="1">
      <c r="B44" s="58" t="s">
        <v>194</v>
      </c>
      <c r="C44" s="60"/>
      <c r="D44" s="60">
        <v>2.0</v>
      </c>
      <c r="E44" s="60" t="s">
        <v>195</v>
      </c>
      <c r="F44" s="42">
        <v>163.0</v>
      </c>
      <c r="G44" s="182"/>
      <c r="H44" s="183"/>
      <c r="I44" s="184"/>
      <c r="J44" s="185"/>
      <c r="K44" s="186"/>
      <c r="L44" s="187"/>
      <c r="M44" s="188"/>
      <c r="N44" s="189"/>
      <c r="O44" s="190"/>
      <c r="P44" s="191"/>
      <c r="Q44" s="192"/>
      <c r="R44" s="74"/>
      <c r="S44" s="193"/>
      <c r="T44" s="74">
        <f t="shared" si="7"/>
        <v>0</v>
      </c>
      <c r="U44" s="74">
        <f t="shared" si="10"/>
        <v>0</v>
      </c>
      <c r="V44" s="74">
        <f>T44*2.73</f>
        <v>0</v>
      </c>
      <c r="W44" s="75">
        <f t="shared" si="9"/>
        <v>0</v>
      </c>
    </row>
    <row r="45" ht="99.75" customHeight="1">
      <c r="B45" s="58" t="s">
        <v>196</v>
      </c>
      <c r="C45" s="60"/>
      <c r="D45" s="60">
        <v>2.0</v>
      </c>
      <c r="E45" s="60" t="s">
        <v>197</v>
      </c>
      <c r="F45" s="42">
        <v>141.0</v>
      </c>
      <c r="G45" s="182"/>
      <c r="H45" s="183"/>
      <c r="I45" s="184"/>
      <c r="J45" s="185"/>
      <c r="K45" s="186"/>
      <c r="L45" s="187"/>
      <c r="M45" s="188"/>
      <c r="N45" s="189"/>
      <c r="O45" s="190"/>
      <c r="P45" s="191"/>
      <c r="Q45" s="192"/>
      <c r="R45" s="74"/>
      <c r="S45" s="193"/>
      <c r="T45" s="74">
        <f t="shared" si="7"/>
        <v>0</v>
      </c>
      <c r="U45" s="74">
        <f t="shared" si="10"/>
        <v>0</v>
      </c>
      <c r="V45" s="74">
        <f>T45*2.8</f>
        <v>0</v>
      </c>
      <c r="W45" s="75">
        <f t="shared" si="9"/>
        <v>0</v>
      </c>
    </row>
    <row r="46" ht="99.75" customHeight="1">
      <c r="B46" s="58" t="s">
        <v>198</v>
      </c>
      <c r="C46" s="217"/>
      <c r="D46" s="60">
        <v>2.0</v>
      </c>
      <c r="E46" s="60" t="s">
        <v>199</v>
      </c>
      <c r="F46" s="42">
        <v>131.0</v>
      </c>
      <c r="G46" s="182"/>
      <c r="H46" s="183"/>
      <c r="I46" s="184"/>
      <c r="J46" s="185"/>
      <c r="K46" s="186"/>
      <c r="L46" s="187"/>
      <c r="M46" s="188"/>
      <c r="N46" s="189"/>
      <c r="O46" s="190"/>
      <c r="P46" s="191"/>
      <c r="Q46" s="192"/>
      <c r="R46" s="74"/>
      <c r="S46" s="193"/>
      <c r="T46" s="74">
        <f t="shared" si="7"/>
        <v>0</v>
      </c>
      <c r="U46" s="74">
        <f t="shared" si="10"/>
        <v>0</v>
      </c>
      <c r="V46" s="74">
        <f>T46*3.12</f>
        <v>0</v>
      </c>
      <c r="W46" s="75">
        <f t="shared" si="9"/>
        <v>0</v>
      </c>
    </row>
    <row r="47" ht="99.75" customHeight="1">
      <c r="B47" s="58" t="s">
        <v>200</v>
      </c>
      <c r="C47" s="217"/>
      <c r="D47" s="60">
        <v>2.0</v>
      </c>
      <c r="E47" s="60" t="s">
        <v>201</v>
      </c>
      <c r="F47" s="42">
        <v>150.0</v>
      </c>
      <c r="G47" s="182"/>
      <c r="H47" s="183"/>
      <c r="I47" s="184"/>
      <c r="J47" s="185"/>
      <c r="K47" s="186"/>
      <c r="L47" s="187"/>
      <c r="M47" s="188"/>
      <c r="N47" s="189"/>
      <c r="O47" s="190"/>
      <c r="P47" s="191"/>
      <c r="Q47" s="192"/>
      <c r="R47" s="74"/>
      <c r="S47" s="193"/>
      <c r="T47" s="74">
        <f t="shared" si="7"/>
        <v>0</v>
      </c>
      <c r="U47" s="74">
        <f t="shared" si="10"/>
        <v>0</v>
      </c>
      <c r="V47" s="74">
        <f>T47*2.11</f>
        <v>0</v>
      </c>
      <c r="W47" s="75">
        <f t="shared" si="9"/>
        <v>0</v>
      </c>
    </row>
    <row r="48" ht="99.75" customHeight="1">
      <c r="B48" s="83" t="s">
        <v>202</v>
      </c>
      <c r="C48" s="217"/>
      <c r="D48" s="85">
        <v>2.0</v>
      </c>
      <c r="E48" s="85" t="s">
        <v>203</v>
      </c>
      <c r="F48" s="42">
        <v>241.0</v>
      </c>
      <c r="G48" s="195"/>
      <c r="H48" s="196"/>
      <c r="I48" s="197"/>
      <c r="J48" s="198"/>
      <c r="K48" s="199"/>
      <c r="L48" s="200"/>
      <c r="M48" s="201"/>
      <c r="N48" s="202"/>
      <c r="O48" s="203"/>
      <c r="P48" s="204"/>
      <c r="Q48" s="205"/>
      <c r="R48" s="206"/>
      <c r="S48" s="207"/>
      <c r="T48" s="206">
        <f t="shared" si="7"/>
        <v>0</v>
      </c>
      <c r="U48" s="206">
        <f t="shared" si="10"/>
        <v>0</v>
      </c>
      <c r="V48" s="206">
        <f>T48*4.3</f>
        <v>0</v>
      </c>
      <c r="W48" s="208">
        <f t="shared" si="9"/>
        <v>0</v>
      </c>
    </row>
    <row r="49" ht="15.75" customHeight="1">
      <c r="G49" s="218">
        <f t="shared" ref="G49:W49" si="11">SUM(G23:G48)</f>
        <v>0</v>
      </c>
      <c r="H49" s="219">
        <f t="shared" si="11"/>
        <v>0</v>
      </c>
      <c r="I49" s="220">
        <f t="shared" si="11"/>
        <v>0</v>
      </c>
      <c r="J49" s="220">
        <f t="shared" si="11"/>
        <v>0</v>
      </c>
      <c r="K49" s="220">
        <f t="shared" si="11"/>
        <v>0</v>
      </c>
      <c r="L49" s="220">
        <f t="shared" si="11"/>
        <v>0</v>
      </c>
      <c r="M49" s="220">
        <f t="shared" si="11"/>
        <v>0</v>
      </c>
      <c r="N49" s="220">
        <f t="shared" si="11"/>
        <v>0</v>
      </c>
      <c r="O49" s="220">
        <f t="shared" si="11"/>
        <v>0</v>
      </c>
      <c r="P49" s="220">
        <f t="shared" si="11"/>
        <v>0</v>
      </c>
      <c r="Q49" s="220">
        <f t="shared" si="11"/>
        <v>0</v>
      </c>
      <c r="R49" s="220">
        <f t="shared" si="11"/>
        <v>0</v>
      </c>
      <c r="S49" s="220">
        <f t="shared" si="11"/>
        <v>0</v>
      </c>
      <c r="T49" s="220">
        <f t="shared" si="11"/>
        <v>0</v>
      </c>
      <c r="U49" s="220">
        <f t="shared" si="11"/>
        <v>0</v>
      </c>
      <c r="V49" s="220">
        <f t="shared" si="11"/>
        <v>0</v>
      </c>
      <c r="W49" s="221">
        <f t="shared" si="11"/>
        <v>0</v>
      </c>
    </row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2:F3"/>
    <mergeCell ref="D6:E6"/>
    <mergeCell ref="D21:E21"/>
  </mergeCell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5.14"/>
    <col customWidth="1" min="3" max="3" width="16.71"/>
    <col customWidth="1" min="4" max="5" width="9.14"/>
    <col customWidth="1" min="6" max="6" width="11.0"/>
    <col customWidth="1" min="7" max="22" width="9.14"/>
    <col customWidth="1" min="23" max="23" width="11.86"/>
    <col customWidth="1" min="24" max="25" width="9.14"/>
  </cols>
  <sheetData>
    <row r="2">
      <c r="B2" s="222" t="s">
        <v>204</v>
      </c>
      <c r="C2" s="107"/>
      <c r="D2" s="108"/>
      <c r="E2" s="110"/>
      <c r="F2" s="110"/>
      <c r="G2" s="151" t="s">
        <v>1</v>
      </c>
      <c r="H2" s="152" t="s">
        <v>2</v>
      </c>
      <c r="I2" s="153" t="s">
        <v>3</v>
      </c>
      <c r="J2" s="154" t="s">
        <v>4</v>
      </c>
      <c r="K2" s="155" t="s">
        <v>5</v>
      </c>
      <c r="L2" s="156" t="s">
        <v>6</v>
      </c>
      <c r="M2" s="157" t="s">
        <v>7</v>
      </c>
      <c r="N2" s="158" t="s">
        <v>8</v>
      </c>
      <c r="O2" s="159" t="s">
        <v>9</v>
      </c>
      <c r="P2" s="160" t="s">
        <v>10</v>
      </c>
      <c r="Q2" s="161" t="s">
        <v>11</v>
      </c>
      <c r="R2" s="162" t="s">
        <v>12</v>
      </c>
      <c r="S2" s="163" t="s">
        <v>13</v>
      </c>
      <c r="T2" s="110"/>
      <c r="U2" s="110"/>
      <c r="V2" s="110"/>
      <c r="W2" s="110"/>
      <c r="Y2" s="223"/>
    </row>
    <row r="3">
      <c r="B3" s="15" t="s">
        <v>14</v>
      </c>
      <c r="C3" s="16" t="s">
        <v>205</v>
      </c>
      <c r="D3" s="17" t="s">
        <v>16</v>
      </c>
      <c r="E3" s="17" t="s">
        <v>17</v>
      </c>
      <c r="F3" s="17" t="s">
        <v>133</v>
      </c>
      <c r="G3" s="224">
        <v>2.0</v>
      </c>
      <c r="H3" s="225">
        <v>5.0</v>
      </c>
      <c r="I3" s="226">
        <v>7.0</v>
      </c>
      <c r="J3" s="227">
        <v>10.0</v>
      </c>
      <c r="K3" s="228">
        <v>11.0</v>
      </c>
      <c r="L3" s="229">
        <v>12.0</v>
      </c>
      <c r="M3" s="230">
        <v>13.0</v>
      </c>
      <c r="N3" s="231">
        <v>16.0</v>
      </c>
      <c r="O3" s="232">
        <v>69.0</v>
      </c>
      <c r="P3" s="233">
        <v>76.0</v>
      </c>
      <c r="Q3" s="234">
        <v>77.0</v>
      </c>
      <c r="R3" s="235">
        <v>79.0</v>
      </c>
      <c r="S3" s="236">
        <v>81.0</v>
      </c>
      <c r="T3" s="237" t="s">
        <v>19</v>
      </c>
      <c r="U3" s="237" t="s">
        <v>20</v>
      </c>
      <c r="V3" s="238" t="s">
        <v>21</v>
      </c>
      <c r="W3" s="239" t="s">
        <v>206</v>
      </c>
      <c r="Y3" s="223"/>
    </row>
    <row r="4">
      <c r="B4" s="240"/>
      <c r="C4" s="240"/>
      <c r="D4" s="240"/>
      <c r="E4" s="240"/>
      <c r="F4" s="240"/>
      <c r="G4" s="240"/>
      <c r="H4" s="240"/>
      <c r="I4" s="240"/>
      <c r="J4" s="241"/>
      <c r="K4" s="240"/>
      <c r="L4" s="240"/>
      <c r="M4" s="240"/>
      <c r="N4" s="240"/>
      <c r="O4" s="240"/>
      <c r="P4" s="240"/>
      <c r="Q4" s="240"/>
      <c r="R4" s="240"/>
      <c r="S4" s="240"/>
      <c r="T4" s="240"/>
      <c r="U4" s="240"/>
      <c r="V4" s="240"/>
      <c r="W4" s="240"/>
      <c r="Y4" s="223"/>
    </row>
    <row r="5" ht="99.75" customHeight="1">
      <c r="B5" s="242" t="s">
        <v>207</v>
      </c>
      <c r="C5" s="243"/>
      <c r="D5" s="244">
        <v>6.0</v>
      </c>
      <c r="E5" s="244" t="s">
        <v>208</v>
      </c>
      <c r="F5" s="42">
        <v>106.0</v>
      </c>
      <c r="G5" s="128"/>
      <c r="H5" s="129"/>
      <c r="I5" s="130"/>
      <c r="J5" s="131"/>
      <c r="K5" s="132"/>
      <c r="L5" s="133"/>
      <c r="M5" s="134"/>
      <c r="N5" s="135"/>
      <c r="O5" s="136"/>
      <c r="P5" s="137"/>
      <c r="Q5" s="138"/>
      <c r="R5" s="139"/>
      <c r="S5" s="140"/>
      <c r="T5" s="245">
        <f t="shared" ref="T5:T6" si="1">SUM(G5:S5)</f>
        <v>0</v>
      </c>
      <c r="U5" s="245">
        <f>(G5+H5+I5+J5+K5+L5+M5+N5+O5+P5+Q5+R5+S5)*D5</f>
        <v>0</v>
      </c>
      <c r="V5" s="245">
        <f>T5*2.1</f>
        <v>0</v>
      </c>
      <c r="W5" s="246">
        <f>T5*F5</f>
        <v>0</v>
      </c>
      <c r="Y5" s="247"/>
    </row>
    <row r="6" ht="99.75" customHeight="1">
      <c r="B6" s="58" t="s">
        <v>209</v>
      </c>
      <c r="C6" s="147"/>
      <c r="D6" s="60">
        <v>6.0</v>
      </c>
      <c r="E6" s="60" t="s">
        <v>210</v>
      </c>
      <c r="F6" s="42">
        <v>87.0</v>
      </c>
      <c r="G6" s="61"/>
      <c r="H6" s="62"/>
      <c r="I6" s="63"/>
      <c r="J6" s="64"/>
      <c r="K6" s="80"/>
      <c r="L6" s="66"/>
      <c r="M6" s="67"/>
      <c r="N6" s="68"/>
      <c r="O6" s="69"/>
      <c r="P6" s="70"/>
      <c r="Q6" s="71"/>
      <c r="R6" s="72"/>
      <c r="S6" s="73"/>
      <c r="T6" s="74">
        <f t="shared" si="1"/>
        <v>0</v>
      </c>
      <c r="U6" s="74">
        <v>0.0</v>
      </c>
      <c r="V6" s="74">
        <f>T6*1.6</f>
        <v>0</v>
      </c>
      <c r="W6" s="75">
        <f>F6*T6</f>
        <v>0</v>
      </c>
      <c r="Y6" s="247"/>
    </row>
    <row r="7" ht="99.75" customHeight="1">
      <c r="B7" s="248" t="s">
        <v>211</v>
      </c>
      <c r="C7" s="249"/>
      <c r="D7" s="250">
        <v>6.0</v>
      </c>
      <c r="E7" s="250" t="s">
        <v>212</v>
      </c>
      <c r="F7" s="42">
        <v>182.0</v>
      </c>
      <c r="G7" s="61"/>
      <c r="H7" s="62"/>
      <c r="I7" s="63"/>
      <c r="J7" s="64"/>
      <c r="K7" s="80"/>
      <c r="L7" s="66"/>
      <c r="M7" s="67"/>
      <c r="N7" s="68"/>
      <c r="O7" s="69"/>
      <c r="P7" s="70"/>
      <c r="Q7" s="71"/>
      <c r="R7" s="72"/>
      <c r="S7" s="73"/>
      <c r="T7" s="251">
        <f t="shared" ref="T7:T10" si="2">G7+H7+I7+J7+K7+L7+M7+N7+O7+P7+Q7+R7+S7</f>
        <v>0</v>
      </c>
      <c r="U7" s="251">
        <f t="shared" ref="U7:U23" si="3">(G7+H7+I7+J7+K7+L7+M7+N7+O7+P7+Q7+R7+S7)*D7</f>
        <v>0</v>
      </c>
      <c r="V7" s="251">
        <f>T7*2.2</f>
        <v>0</v>
      </c>
      <c r="W7" s="252">
        <f t="shared" ref="W7:W18" si="4">T7*F7</f>
        <v>0</v>
      </c>
      <c r="Y7" s="247"/>
    </row>
    <row r="8" ht="99.75" customHeight="1">
      <c r="B8" s="248" t="s">
        <v>213</v>
      </c>
      <c r="C8" s="249"/>
      <c r="D8" s="250">
        <v>6.0</v>
      </c>
      <c r="E8" s="250" t="s">
        <v>214</v>
      </c>
      <c r="F8" s="42">
        <v>275.0</v>
      </c>
      <c r="G8" s="61"/>
      <c r="H8" s="62"/>
      <c r="I8" s="63"/>
      <c r="J8" s="64"/>
      <c r="K8" s="80"/>
      <c r="L8" s="66"/>
      <c r="M8" s="67"/>
      <c r="N8" s="68"/>
      <c r="O8" s="69"/>
      <c r="P8" s="70"/>
      <c r="Q8" s="71"/>
      <c r="R8" s="72"/>
      <c r="S8" s="73"/>
      <c r="T8" s="251">
        <f t="shared" si="2"/>
        <v>0</v>
      </c>
      <c r="U8" s="251">
        <f t="shared" si="3"/>
        <v>0</v>
      </c>
      <c r="V8" s="251">
        <f>T8*4</f>
        <v>0</v>
      </c>
      <c r="W8" s="252">
        <f t="shared" si="4"/>
        <v>0</v>
      </c>
      <c r="Y8" s="247"/>
    </row>
    <row r="9" ht="99.75" customHeight="1">
      <c r="B9" s="248" t="s">
        <v>215</v>
      </c>
      <c r="C9" s="249"/>
      <c r="D9" s="250">
        <v>6.0</v>
      </c>
      <c r="E9" s="250" t="s">
        <v>216</v>
      </c>
      <c r="F9" s="42">
        <v>371.0</v>
      </c>
      <c r="G9" s="61"/>
      <c r="H9" s="62"/>
      <c r="I9" s="63"/>
      <c r="J9" s="64"/>
      <c r="K9" s="80"/>
      <c r="L9" s="66"/>
      <c r="M9" s="67"/>
      <c r="N9" s="68"/>
      <c r="O9" s="69"/>
      <c r="P9" s="70"/>
      <c r="Q9" s="71"/>
      <c r="R9" s="72"/>
      <c r="S9" s="73"/>
      <c r="T9" s="251">
        <f t="shared" si="2"/>
        <v>0</v>
      </c>
      <c r="U9" s="251">
        <f t="shared" si="3"/>
        <v>0</v>
      </c>
      <c r="V9" s="251">
        <f>T9*5.85</f>
        <v>0</v>
      </c>
      <c r="W9" s="252">
        <f t="shared" si="4"/>
        <v>0</v>
      </c>
      <c r="Y9" s="247"/>
    </row>
    <row r="10" ht="99.75" customHeight="1">
      <c r="B10" s="248" t="s">
        <v>217</v>
      </c>
      <c r="C10" s="249"/>
      <c r="D10" s="250">
        <v>6.0</v>
      </c>
      <c r="E10" s="250" t="s">
        <v>218</v>
      </c>
      <c r="F10" s="42">
        <v>595.0</v>
      </c>
      <c r="G10" s="61"/>
      <c r="H10" s="62"/>
      <c r="I10" s="63"/>
      <c r="J10" s="64"/>
      <c r="K10" s="80"/>
      <c r="L10" s="66"/>
      <c r="M10" s="67"/>
      <c r="N10" s="68"/>
      <c r="O10" s="69"/>
      <c r="P10" s="70"/>
      <c r="Q10" s="71"/>
      <c r="R10" s="72"/>
      <c r="S10" s="73"/>
      <c r="T10" s="251">
        <f t="shared" si="2"/>
        <v>0</v>
      </c>
      <c r="U10" s="251">
        <f t="shared" si="3"/>
        <v>0</v>
      </c>
      <c r="V10" s="251">
        <f>T10*10.2</f>
        <v>0</v>
      </c>
      <c r="W10" s="252">
        <f t="shared" si="4"/>
        <v>0</v>
      </c>
      <c r="Y10" s="247"/>
    </row>
    <row r="11" ht="99.75" customHeight="1">
      <c r="B11" s="248" t="s">
        <v>219</v>
      </c>
      <c r="C11" s="249"/>
      <c r="D11" s="250">
        <v>6.0</v>
      </c>
      <c r="E11" s="250" t="s">
        <v>220</v>
      </c>
      <c r="F11" s="42">
        <v>120.0</v>
      </c>
      <c r="G11" s="61"/>
      <c r="H11" s="62"/>
      <c r="I11" s="63"/>
      <c r="J11" s="64"/>
      <c r="K11" s="80"/>
      <c r="L11" s="66"/>
      <c r="M11" s="67"/>
      <c r="N11" s="68"/>
      <c r="O11" s="69"/>
      <c r="P11" s="70"/>
      <c r="Q11" s="71"/>
      <c r="R11" s="72"/>
      <c r="S11" s="73"/>
      <c r="T11" s="251">
        <f t="shared" ref="T11:T15" si="5">SUM(G11:S11)</f>
        <v>0</v>
      </c>
      <c r="U11" s="251">
        <f t="shared" si="3"/>
        <v>0</v>
      </c>
      <c r="V11" s="251">
        <f>T11*2.34</f>
        <v>0</v>
      </c>
      <c r="W11" s="252">
        <f t="shared" si="4"/>
        <v>0</v>
      </c>
      <c r="Y11" s="247"/>
    </row>
    <row r="12" ht="99.75" customHeight="1">
      <c r="B12" s="248" t="s">
        <v>221</v>
      </c>
      <c r="C12" s="249"/>
      <c r="D12" s="250">
        <v>6.0</v>
      </c>
      <c r="E12" s="250" t="s">
        <v>222</v>
      </c>
      <c r="F12" s="42">
        <v>214.0</v>
      </c>
      <c r="G12" s="61"/>
      <c r="H12" s="62"/>
      <c r="I12" s="63"/>
      <c r="J12" s="64"/>
      <c r="K12" s="80"/>
      <c r="L12" s="66"/>
      <c r="M12" s="67"/>
      <c r="N12" s="68"/>
      <c r="O12" s="69"/>
      <c r="P12" s="70"/>
      <c r="Q12" s="71"/>
      <c r="R12" s="72"/>
      <c r="S12" s="73"/>
      <c r="T12" s="251">
        <f t="shared" si="5"/>
        <v>0</v>
      </c>
      <c r="U12" s="251">
        <f t="shared" si="3"/>
        <v>0</v>
      </c>
      <c r="V12" s="251">
        <f>T12*2.82</f>
        <v>0</v>
      </c>
      <c r="W12" s="252">
        <f t="shared" si="4"/>
        <v>0</v>
      </c>
      <c r="Y12" s="247"/>
    </row>
    <row r="13" ht="99.75" customHeight="1">
      <c r="B13" s="248" t="s">
        <v>223</v>
      </c>
      <c r="C13" s="249"/>
      <c r="D13" s="250">
        <v>6.0</v>
      </c>
      <c r="E13" s="250" t="s">
        <v>224</v>
      </c>
      <c r="F13" s="42">
        <v>320.0</v>
      </c>
      <c r="G13" s="61"/>
      <c r="H13" s="62"/>
      <c r="I13" s="63"/>
      <c r="J13" s="64"/>
      <c r="K13" s="80"/>
      <c r="L13" s="66"/>
      <c r="M13" s="67"/>
      <c r="N13" s="68"/>
      <c r="O13" s="69"/>
      <c r="P13" s="70"/>
      <c r="Q13" s="71"/>
      <c r="R13" s="72"/>
      <c r="S13" s="73"/>
      <c r="T13" s="251">
        <f t="shared" si="5"/>
        <v>0</v>
      </c>
      <c r="U13" s="251">
        <f t="shared" si="3"/>
        <v>0</v>
      </c>
      <c r="V13" s="251">
        <f>T13*4.85</f>
        <v>0</v>
      </c>
      <c r="W13" s="252">
        <f t="shared" si="4"/>
        <v>0</v>
      </c>
      <c r="Y13" s="247"/>
    </row>
    <row r="14" ht="99.75" customHeight="1">
      <c r="B14" s="248" t="s">
        <v>225</v>
      </c>
      <c r="C14" s="249"/>
      <c r="D14" s="250">
        <v>3.0</v>
      </c>
      <c r="E14" s="250" t="s">
        <v>226</v>
      </c>
      <c r="F14" s="42">
        <v>238.0</v>
      </c>
      <c r="G14" s="61"/>
      <c r="H14" s="62"/>
      <c r="I14" s="63"/>
      <c r="J14" s="64"/>
      <c r="K14" s="80"/>
      <c r="L14" s="66"/>
      <c r="M14" s="67"/>
      <c r="N14" s="68"/>
      <c r="O14" s="69"/>
      <c r="P14" s="70"/>
      <c r="Q14" s="71"/>
      <c r="R14" s="72"/>
      <c r="S14" s="73"/>
      <c r="T14" s="251">
        <f t="shared" si="5"/>
        <v>0</v>
      </c>
      <c r="U14" s="251">
        <f t="shared" si="3"/>
        <v>0</v>
      </c>
      <c r="V14" s="251">
        <f>T14*3.95</f>
        <v>0</v>
      </c>
      <c r="W14" s="252">
        <f t="shared" si="4"/>
        <v>0</v>
      </c>
      <c r="Y14" s="247"/>
    </row>
    <row r="15" ht="99.75" customHeight="1">
      <c r="B15" s="58" t="s">
        <v>227</v>
      </c>
      <c r="C15" s="147"/>
      <c r="D15" s="60">
        <v>6.0</v>
      </c>
      <c r="E15" s="60" t="s">
        <v>228</v>
      </c>
      <c r="F15" s="42">
        <v>42.0</v>
      </c>
      <c r="G15" s="61"/>
      <c r="H15" s="62"/>
      <c r="I15" s="63"/>
      <c r="J15" s="64"/>
      <c r="K15" s="80"/>
      <c r="L15" s="66"/>
      <c r="M15" s="67"/>
      <c r="N15" s="68"/>
      <c r="O15" s="69"/>
      <c r="P15" s="70"/>
      <c r="Q15" s="71"/>
      <c r="R15" s="72"/>
      <c r="S15" s="73"/>
      <c r="T15" s="74">
        <f t="shared" si="5"/>
        <v>0</v>
      </c>
      <c r="U15" s="74">
        <f t="shared" si="3"/>
        <v>0</v>
      </c>
      <c r="V15" s="74">
        <f>T15*0.6</f>
        <v>0</v>
      </c>
      <c r="W15" s="75">
        <f t="shared" si="4"/>
        <v>0</v>
      </c>
      <c r="Y15" s="247"/>
    </row>
    <row r="16" ht="99.75" customHeight="1">
      <c r="B16" s="248" t="s">
        <v>88</v>
      </c>
      <c r="C16" s="249"/>
      <c r="D16" s="250">
        <v>6.0</v>
      </c>
      <c r="E16" s="250" t="s">
        <v>229</v>
      </c>
      <c r="F16" s="42">
        <v>48.0</v>
      </c>
      <c r="G16" s="61"/>
      <c r="H16" s="62"/>
      <c r="I16" s="63"/>
      <c r="J16" s="64"/>
      <c r="K16" s="80"/>
      <c r="L16" s="66"/>
      <c r="M16" s="67"/>
      <c r="N16" s="68"/>
      <c r="O16" s="69"/>
      <c r="P16" s="70"/>
      <c r="Q16" s="71"/>
      <c r="R16" s="72"/>
      <c r="S16" s="73"/>
      <c r="T16" s="251">
        <f>G16+H16+I16+J16+K16+L16+M16+N16+O16+P16+Q16+R16+S16</f>
        <v>0</v>
      </c>
      <c r="U16" s="251">
        <f t="shared" si="3"/>
        <v>0</v>
      </c>
      <c r="V16" s="251">
        <f>T16*0.73</f>
        <v>0</v>
      </c>
      <c r="W16" s="252">
        <f t="shared" si="4"/>
        <v>0</v>
      </c>
      <c r="Y16" s="247"/>
    </row>
    <row r="17" ht="99.75" customHeight="1">
      <c r="B17" s="248" t="s">
        <v>230</v>
      </c>
      <c r="C17" s="249"/>
      <c r="D17" s="250">
        <v>6.0</v>
      </c>
      <c r="E17" s="250" t="s">
        <v>231</v>
      </c>
      <c r="F17" s="42">
        <v>21.0</v>
      </c>
      <c r="G17" s="61"/>
      <c r="H17" s="62"/>
      <c r="I17" s="63"/>
      <c r="J17" s="64"/>
      <c r="K17" s="80"/>
      <c r="L17" s="66"/>
      <c r="M17" s="67"/>
      <c r="N17" s="68"/>
      <c r="O17" s="69"/>
      <c r="P17" s="70"/>
      <c r="Q17" s="71"/>
      <c r="R17" s="72"/>
      <c r="S17" s="73"/>
      <c r="T17" s="251">
        <f t="shared" ref="T17:T20" si="6">SUM(G17:S17)</f>
        <v>0</v>
      </c>
      <c r="U17" s="251">
        <f t="shared" si="3"/>
        <v>0</v>
      </c>
      <c r="V17" s="251"/>
      <c r="W17" s="252">
        <f t="shared" si="4"/>
        <v>0</v>
      </c>
      <c r="Y17" s="247"/>
    </row>
    <row r="18" ht="99.75" customHeight="1">
      <c r="B18" s="248" t="s">
        <v>232</v>
      </c>
      <c r="C18" s="249"/>
      <c r="D18" s="250">
        <v>6.0</v>
      </c>
      <c r="E18" s="250" t="s">
        <v>233</v>
      </c>
      <c r="F18" s="42">
        <v>21.0</v>
      </c>
      <c r="G18" s="61"/>
      <c r="H18" s="62"/>
      <c r="I18" s="63"/>
      <c r="J18" s="64"/>
      <c r="K18" s="80"/>
      <c r="L18" s="66"/>
      <c r="M18" s="67"/>
      <c r="N18" s="68"/>
      <c r="O18" s="69"/>
      <c r="P18" s="70"/>
      <c r="Q18" s="71"/>
      <c r="R18" s="72"/>
      <c r="S18" s="73"/>
      <c r="T18" s="251">
        <f t="shared" si="6"/>
        <v>0</v>
      </c>
      <c r="U18" s="251">
        <f t="shared" si="3"/>
        <v>0</v>
      </c>
      <c r="V18" s="251"/>
      <c r="W18" s="252">
        <f t="shared" si="4"/>
        <v>0</v>
      </c>
      <c r="Y18" s="247"/>
    </row>
    <row r="19" ht="99.75" customHeight="1">
      <c r="B19" s="58" t="s">
        <v>234</v>
      </c>
      <c r="C19" s="147"/>
      <c r="D19" s="60">
        <v>6.0</v>
      </c>
      <c r="E19" s="60" t="s">
        <v>235</v>
      </c>
      <c r="F19" s="42">
        <v>25.0</v>
      </c>
      <c r="G19" s="61"/>
      <c r="H19" s="62"/>
      <c r="I19" s="63"/>
      <c r="J19" s="64"/>
      <c r="K19" s="80"/>
      <c r="L19" s="66"/>
      <c r="M19" s="67"/>
      <c r="N19" s="68"/>
      <c r="O19" s="69"/>
      <c r="P19" s="70"/>
      <c r="Q19" s="71"/>
      <c r="R19" s="72"/>
      <c r="S19" s="73"/>
      <c r="T19" s="74">
        <f t="shared" si="6"/>
        <v>0</v>
      </c>
      <c r="U19" s="74">
        <f t="shared" si="3"/>
        <v>0</v>
      </c>
      <c r="V19" s="74">
        <f>T19*0.3</f>
        <v>0</v>
      </c>
      <c r="W19" s="75">
        <f t="shared" ref="W19:W20" si="7">F19*T19</f>
        <v>0</v>
      </c>
      <c r="Y19" s="247"/>
    </row>
    <row r="20" ht="99.75" customHeight="1">
      <c r="B20" s="58" t="s">
        <v>236</v>
      </c>
      <c r="C20" s="147"/>
      <c r="D20" s="60">
        <v>6.0</v>
      </c>
      <c r="E20" s="60" t="s">
        <v>237</v>
      </c>
      <c r="F20" s="42">
        <v>21.0</v>
      </c>
      <c r="G20" s="61"/>
      <c r="H20" s="62"/>
      <c r="I20" s="63"/>
      <c r="J20" s="64"/>
      <c r="K20" s="80"/>
      <c r="L20" s="66"/>
      <c r="M20" s="67"/>
      <c r="N20" s="68"/>
      <c r="O20" s="69"/>
      <c r="P20" s="70"/>
      <c r="Q20" s="71"/>
      <c r="R20" s="72"/>
      <c r="S20" s="73"/>
      <c r="T20" s="74">
        <f t="shared" si="6"/>
        <v>0</v>
      </c>
      <c r="U20" s="74">
        <f t="shared" si="3"/>
        <v>0</v>
      </c>
      <c r="V20" s="74">
        <f>T20*0.2</f>
        <v>0</v>
      </c>
      <c r="W20" s="75">
        <f t="shared" si="7"/>
        <v>0</v>
      </c>
      <c r="Y20" s="247"/>
    </row>
    <row r="21" ht="99.75" customHeight="1">
      <c r="B21" s="248" t="s">
        <v>238</v>
      </c>
      <c r="C21" s="249"/>
      <c r="D21" s="250">
        <v>6.0</v>
      </c>
      <c r="E21" s="250" t="s">
        <v>239</v>
      </c>
      <c r="F21" s="42">
        <v>59.0</v>
      </c>
      <c r="G21" s="61"/>
      <c r="H21" s="62"/>
      <c r="I21" s="63"/>
      <c r="J21" s="64"/>
      <c r="K21" s="80"/>
      <c r="L21" s="66"/>
      <c r="M21" s="67"/>
      <c r="N21" s="68"/>
      <c r="O21" s="69"/>
      <c r="P21" s="70"/>
      <c r="Q21" s="71"/>
      <c r="R21" s="72"/>
      <c r="S21" s="73"/>
      <c r="T21" s="251">
        <f>G21+H21+I21+J21+K21+L21+M21+N21+O21+P21+Q21+R21+S21</f>
        <v>0</v>
      </c>
      <c r="U21" s="251">
        <f t="shared" si="3"/>
        <v>0</v>
      </c>
      <c r="V21" s="251">
        <f>T21*0.97</f>
        <v>0</v>
      </c>
      <c r="W21" s="252">
        <f t="shared" ref="W21:W23" si="8">T21*F21</f>
        <v>0</v>
      </c>
      <c r="Y21" s="247"/>
    </row>
    <row r="22" ht="99.75" customHeight="1">
      <c r="B22" s="248" t="s">
        <v>240</v>
      </c>
      <c r="C22" s="249"/>
      <c r="D22" s="250">
        <v>6.0</v>
      </c>
      <c r="E22" s="250" t="s">
        <v>241</v>
      </c>
      <c r="F22" s="42">
        <v>69.0</v>
      </c>
      <c r="G22" s="61"/>
      <c r="H22" s="62"/>
      <c r="I22" s="63"/>
      <c r="J22" s="64"/>
      <c r="K22" s="80"/>
      <c r="L22" s="66"/>
      <c r="M22" s="67"/>
      <c r="N22" s="68"/>
      <c r="O22" s="69"/>
      <c r="P22" s="70"/>
      <c r="Q22" s="71"/>
      <c r="R22" s="72"/>
      <c r="S22" s="73"/>
      <c r="T22" s="251">
        <f t="shared" ref="T22:T23" si="9">SUM(G22:S22)</f>
        <v>0</v>
      </c>
      <c r="U22" s="251">
        <f t="shared" si="3"/>
        <v>0</v>
      </c>
      <c r="V22" s="251"/>
      <c r="W22" s="252">
        <f t="shared" si="8"/>
        <v>0</v>
      </c>
      <c r="Y22" s="247"/>
    </row>
    <row r="23" ht="99.75" customHeight="1">
      <c r="B23" s="253" t="s">
        <v>242</v>
      </c>
      <c r="C23" s="254"/>
      <c r="D23" s="255">
        <v>6.0</v>
      </c>
      <c r="E23" s="255" t="s">
        <v>243</v>
      </c>
      <c r="F23" s="42">
        <v>80.0</v>
      </c>
      <c r="G23" s="256"/>
      <c r="H23" s="257"/>
      <c r="I23" s="258"/>
      <c r="J23" s="259"/>
      <c r="K23" s="260"/>
      <c r="L23" s="261"/>
      <c r="M23" s="262"/>
      <c r="N23" s="263"/>
      <c r="O23" s="264"/>
      <c r="P23" s="265"/>
      <c r="Q23" s="266"/>
      <c r="R23" s="267"/>
      <c r="S23" s="268"/>
      <c r="T23" s="269">
        <f t="shared" si="9"/>
        <v>0</v>
      </c>
      <c r="U23" s="269">
        <f t="shared" si="3"/>
        <v>0</v>
      </c>
      <c r="V23" s="269"/>
      <c r="W23" s="270">
        <f t="shared" si="8"/>
        <v>0</v>
      </c>
      <c r="Y23" s="247"/>
    </row>
    <row r="24" ht="15.75" customHeight="1">
      <c r="B24" s="110"/>
      <c r="C24" s="110"/>
      <c r="D24" s="110"/>
      <c r="E24" s="110"/>
      <c r="F24" s="167"/>
      <c r="G24" s="210">
        <f t="shared" ref="G24:W24" si="10">SUM(G5:G23)</f>
        <v>0</v>
      </c>
      <c r="H24" s="210">
        <f t="shared" si="10"/>
        <v>0</v>
      </c>
      <c r="I24" s="210">
        <f t="shared" si="10"/>
        <v>0</v>
      </c>
      <c r="J24" s="210">
        <f t="shared" si="10"/>
        <v>0</v>
      </c>
      <c r="K24" s="210">
        <f t="shared" si="10"/>
        <v>0</v>
      </c>
      <c r="L24" s="210">
        <f t="shared" si="10"/>
        <v>0</v>
      </c>
      <c r="M24" s="210">
        <f t="shared" si="10"/>
        <v>0</v>
      </c>
      <c r="N24" s="210">
        <f t="shared" si="10"/>
        <v>0</v>
      </c>
      <c r="O24" s="210">
        <f t="shared" si="10"/>
        <v>0</v>
      </c>
      <c r="P24" s="210">
        <f t="shared" si="10"/>
        <v>0</v>
      </c>
      <c r="Q24" s="210">
        <f t="shared" si="10"/>
        <v>0</v>
      </c>
      <c r="R24" s="210">
        <f t="shared" si="10"/>
        <v>0</v>
      </c>
      <c r="S24" s="210">
        <f t="shared" si="10"/>
        <v>0</v>
      </c>
      <c r="T24" s="210">
        <f t="shared" si="10"/>
        <v>0</v>
      </c>
      <c r="U24" s="210">
        <f t="shared" si="10"/>
        <v>0</v>
      </c>
      <c r="V24" s="210">
        <f t="shared" si="10"/>
        <v>0</v>
      </c>
      <c r="W24" s="211">
        <f t="shared" si="10"/>
        <v>0</v>
      </c>
      <c r="Y24" s="247"/>
    </row>
    <row r="25" ht="15.75" customHeight="1">
      <c r="F25" s="213"/>
      <c r="W25" s="213"/>
      <c r="Y25" s="247"/>
    </row>
    <row r="26" ht="15.75" customHeight="1">
      <c r="F26" s="213"/>
      <c r="W26" s="213"/>
      <c r="Y26" s="247"/>
    </row>
    <row r="27" ht="24.0" customHeight="1">
      <c r="B27" s="271" t="s">
        <v>244</v>
      </c>
      <c r="C27" s="107"/>
      <c r="D27" s="108"/>
      <c r="E27" s="110"/>
      <c r="F27" s="167"/>
      <c r="G27" s="110"/>
      <c r="H27" s="110"/>
      <c r="I27" s="110"/>
      <c r="J27" s="124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67"/>
      <c r="Y27" s="247"/>
    </row>
    <row r="28" ht="15.75" customHeight="1">
      <c r="B28" s="110"/>
      <c r="C28" s="110"/>
      <c r="D28" s="110"/>
      <c r="E28" s="110"/>
      <c r="F28" s="167"/>
      <c r="G28" s="110"/>
      <c r="H28" s="110"/>
      <c r="I28" s="110"/>
      <c r="J28" s="124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67"/>
      <c r="Y28" s="247"/>
    </row>
    <row r="29" ht="99.75" customHeight="1">
      <c r="B29" s="242" t="s">
        <v>245</v>
      </c>
      <c r="C29" s="272"/>
      <c r="D29" s="244">
        <v>6.0</v>
      </c>
      <c r="E29" s="244" t="s">
        <v>246</v>
      </c>
      <c r="F29" s="42">
        <v>40.0</v>
      </c>
      <c r="G29" s="128"/>
      <c r="H29" s="129"/>
      <c r="I29" s="130"/>
      <c r="J29" s="131"/>
      <c r="K29" s="132"/>
      <c r="L29" s="133"/>
      <c r="M29" s="134"/>
      <c r="N29" s="135"/>
      <c r="O29" s="136"/>
      <c r="P29" s="137"/>
      <c r="Q29" s="138"/>
      <c r="R29" s="139"/>
      <c r="S29" s="273"/>
      <c r="T29" s="245">
        <f t="shared" ref="T29:T38" si="11">G29+H29+I29+J29+K29+L29+M29+N29+O29+P29+Q29+R29+S29</f>
        <v>0</v>
      </c>
      <c r="U29" s="245">
        <f t="shared" ref="U29:U38" si="12">T29*D29</f>
        <v>0</v>
      </c>
      <c r="V29" s="245">
        <f>T29*0.55</f>
        <v>0</v>
      </c>
      <c r="W29" s="246">
        <f t="shared" ref="W29:W38" si="13">T29*F29</f>
        <v>0</v>
      </c>
      <c r="Y29" s="247"/>
    </row>
    <row r="30" ht="99.75" customHeight="1">
      <c r="B30" s="248" t="s">
        <v>247</v>
      </c>
      <c r="C30" s="274"/>
      <c r="D30" s="250">
        <v>6.0</v>
      </c>
      <c r="E30" s="250" t="s">
        <v>248</v>
      </c>
      <c r="F30" s="42">
        <v>32.0</v>
      </c>
      <c r="G30" s="61"/>
      <c r="H30" s="62"/>
      <c r="I30" s="63"/>
      <c r="J30" s="64"/>
      <c r="K30" s="80"/>
      <c r="L30" s="66"/>
      <c r="M30" s="67"/>
      <c r="N30" s="68"/>
      <c r="O30" s="69"/>
      <c r="P30" s="70"/>
      <c r="Q30" s="71"/>
      <c r="R30" s="72"/>
      <c r="S30" s="275"/>
      <c r="T30" s="251">
        <f t="shared" si="11"/>
        <v>0</v>
      </c>
      <c r="U30" s="251">
        <f t="shared" si="12"/>
        <v>0</v>
      </c>
      <c r="V30" s="251">
        <f>T30*0.4</f>
        <v>0</v>
      </c>
      <c r="W30" s="252">
        <f t="shared" si="13"/>
        <v>0</v>
      </c>
      <c r="Y30" s="247"/>
    </row>
    <row r="31" ht="99.75" customHeight="1">
      <c r="B31" s="248" t="s">
        <v>249</v>
      </c>
      <c r="C31" s="274"/>
      <c r="D31" s="250">
        <v>6.0</v>
      </c>
      <c r="E31" s="250" t="s">
        <v>250</v>
      </c>
      <c r="F31" s="42">
        <v>69.0</v>
      </c>
      <c r="G31" s="61"/>
      <c r="H31" s="62"/>
      <c r="I31" s="63"/>
      <c r="J31" s="64"/>
      <c r="K31" s="80"/>
      <c r="L31" s="66"/>
      <c r="M31" s="67"/>
      <c r="N31" s="68"/>
      <c r="O31" s="69"/>
      <c r="P31" s="70"/>
      <c r="Q31" s="71"/>
      <c r="R31" s="72"/>
      <c r="S31" s="275"/>
      <c r="T31" s="251">
        <f t="shared" si="11"/>
        <v>0</v>
      </c>
      <c r="U31" s="251">
        <f t="shared" si="12"/>
        <v>0</v>
      </c>
      <c r="V31" s="251">
        <f>T31*1.2</f>
        <v>0</v>
      </c>
      <c r="W31" s="252">
        <f t="shared" si="13"/>
        <v>0</v>
      </c>
      <c r="Y31" s="247"/>
    </row>
    <row r="32" ht="99.75" customHeight="1">
      <c r="B32" s="248" t="s">
        <v>251</v>
      </c>
      <c r="C32" s="274"/>
      <c r="D32" s="250">
        <v>6.0</v>
      </c>
      <c r="E32" s="250" t="s">
        <v>252</v>
      </c>
      <c r="F32" s="42">
        <v>49.0</v>
      </c>
      <c r="G32" s="61"/>
      <c r="H32" s="62"/>
      <c r="I32" s="63"/>
      <c r="J32" s="64"/>
      <c r="K32" s="80"/>
      <c r="L32" s="66"/>
      <c r="M32" s="67"/>
      <c r="N32" s="68"/>
      <c r="O32" s="69"/>
      <c r="P32" s="70"/>
      <c r="Q32" s="71"/>
      <c r="R32" s="72"/>
      <c r="S32" s="275"/>
      <c r="T32" s="251">
        <f t="shared" si="11"/>
        <v>0</v>
      </c>
      <c r="U32" s="251">
        <f t="shared" si="12"/>
        <v>0</v>
      </c>
      <c r="V32" s="251">
        <f>T32*0.77</f>
        <v>0</v>
      </c>
      <c r="W32" s="252">
        <f t="shared" si="13"/>
        <v>0</v>
      </c>
      <c r="Y32" s="247"/>
    </row>
    <row r="33" ht="99.75" customHeight="1">
      <c r="B33" s="248" t="s">
        <v>253</v>
      </c>
      <c r="C33" s="274"/>
      <c r="D33" s="250">
        <v>6.0</v>
      </c>
      <c r="E33" s="250" t="s">
        <v>254</v>
      </c>
      <c r="F33" s="42">
        <v>116.0</v>
      </c>
      <c r="G33" s="61"/>
      <c r="H33" s="62"/>
      <c r="I33" s="63"/>
      <c r="J33" s="64"/>
      <c r="K33" s="80"/>
      <c r="L33" s="66"/>
      <c r="M33" s="67"/>
      <c r="N33" s="68"/>
      <c r="O33" s="69"/>
      <c r="P33" s="70"/>
      <c r="Q33" s="71"/>
      <c r="R33" s="72"/>
      <c r="S33" s="275"/>
      <c r="T33" s="251">
        <f t="shared" si="11"/>
        <v>0</v>
      </c>
      <c r="U33" s="251">
        <f t="shared" si="12"/>
        <v>0</v>
      </c>
      <c r="V33" s="251">
        <f>T33*2.27</f>
        <v>0</v>
      </c>
      <c r="W33" s="252">
        <f t="shared" si="13"/>
        <v>0</v>
      </c>
      <c r="Y33" s="247"/>
    </row>
    <row r="34" ht="99.75" customHeight="1">
      <c r="B34" s="248" t="s">
        <v>255</v>
      </c>
      <c r="C34" s="274"/>
      <c r="D34" s="250">
        <v>6.0</v>
      </c>
      <c r="E34" s="250" t="s">
        <v>256</v>
      </c>
      <c r="F34" s="42">
        <v>61.0</v>
      </c>
      <c r="G34" s="61"/>
      <c r="H34" s="62"/>
      <c r="I34" s="63"/>
      <c r="J34" s="64"/>
      <c r="K34" s="80"/>
      <c r="L34" s="66"/>
      <c r="M34" s="67"/>
      <c r="N34" s="68"/>
      <c r="O34" s="69"/>
      <c r="P34" s="70"/>
      <c r="Q34" s="71"/>
      <c r="R34" s="72"/>
      <c r="S34" s="275"/>
      <c r="T34" s="251">
        <f t="shared" si="11"/>
        <v>0</v>
      </c>
      <c r="U34" s="251">
        <f t="shared" si="12"/>
        <v>0</v>
      </c>
      <c r="V34" s="251">
        <f>T34*1.04</f>
        <v>0</v>
      </c>
      <c r="W34" s="252">
        <f t="shared" si="13"/>
        <v>0</v>
      </c>
      <c r="Y34" s="247"/>
    </row>
    <row r="35" ht="99.75" customHeight="1">
      <c r="B35" s="248" t="s">
        <v>257</v>
      </c>
      <c r="C35" s="274"/>
      <c r="D35" s="250">
        <v>6.0</v>
      </c>
      <c r="E35" s="250" t="s">
        <v>258</v>
      </c>
      <c r="F35" s="42">
        <v>97.0</v>
      </c>
      <c r="G35" s="61"/>
      <c r="H35" s="62"/>
      <c r="I35" s="63"/>
      <c r="J35" s="64"/>
      <c r="K35" s="80"/>
      <c r="L35" s="66"/>
      <c r="M35" s="67"/>
      <c r="N35" s="68"/>
      <c r="O35" s="69"/>
      <c r="P35" s="70"/>
      <c r="Q35" s="71"/>
      <c r="R35" s="72"/>
      <c r="S35" s="275"/>
      <c r="T35" s="251">
        <f t="shared" si="11"/>
        <v>0</v>
      </c>
      <c r="U35" s="251">
        <f t="shared" si="12"/>
        <v>0</v>
      </c>
      <c r="V35" s="251">
        <f>T35*1.84</f>
        <v>0</v>
      </c>
      <c r="W35" s="252">
        <f t="shared" si="13"/>
        <v>0</v>
      </c>
      <c r="Y35" s="247"/>
    </row>
    <row r="36" ht="99.75" customHeight="1">
      <c r="B36" s="58" t="s">
        <v>259</v>
      </c>
      <c r="C36" s="59"/>
      <c r="D36" s="60">
        <v>6.0</v>
      </c>
      <c r="E36" s="60" t="s">
        <v>260</v>
      </c>
      <c r="F36" s="42">
        <v>181.0</v>
      </c>
      <c r="G36" s="61"/>
      <c r="H36" s="62"/>
      <c r="I36" s="63"/>
      <c r="J36" s="64"/>
      <c r="K36" s="80"/>
      <c r="L36" s="66"/>
      <c r="M36" s="67"/>
      <c r="N36" s="68"/>
      <c r="O36" s="69"/>
      <c r="P36" s="70"/>
      <c r="Q36" s="71"/>
      <c r="R36" s="72"/>
      <c r="S36" s="275"/>
      <c r="T36" s="74">
        <f t="shared" si="11"/>
        <v>0</v>
      </c>
      <c r="U36" s="74">
        <f t="shared" si="12"/>
        <v>0</v>
      </c>
      <c r="V36" s="74"/>
      <c r="W36" s="75">
        <f t="shared" si="13"/>
        <v>0</v>
      </c>
      <c r="Y36" s="247"/>
    </row>
    <row r="37" ht="99.75" customHeight="1">
      <c r="B37" s="58" t="s">
        <v>261</v>
      </c>
      <c r="C37" s="59"/>
      <c r="D37" s="60">
        <v>6.0</v>
      </c>
      <c r="E37" s="60" t="s">
        <v>262</v>
      </c>
      <c r="F37" s="42">
        <v>218.0</v>
      </c>
      <c r="G37" s="61"/>
      <c r="H37" s="62"/>
      <c r="I37" s="63"/>
      <c r="J37" s="64"/>
      <c r="K37" s="80"/>
      <c r="L37" s="66"/>
      <c r="M37" s="67"/>
      <c r="N37" s="68"/>
      <c r="O37" s="69"/>
      <c r="P37" s="70"/>
      <c r="Q37" s="71"/>
      <c r="R37" s="72"/>
      <c r="S37" s="275"/>
      <c r="T37" s="74">
        <f t="shared" si="11"/>
        <v>0</v>
      </c>
      <c r="U37" s="74">
        <f t="shared" si="12"/>
        <v>0</v>
      </c>
      <c r="V37" s="74"/>
      <c r="W37" s="75">
        <f t="shared" si="13"/>
        <v>0</v>
      </c>
      <c r="Y37" s="247"/>
    </row>
    <row r="38" ht="99.75" customHeight="1">
      <c r="B38" s="83" t="s">
        <v>263</v>
      </c>
      <c r="C38" s="84"/>
      <c r="D38" s="85">
        <v>6.0</v>
      </c>
      <c r="E38" s="85" t="s">
        <v>264</v>
      </c>
      <c r="F38" s="42">
        <v>256.0</v>
      </c>
      <c r="G38" s="86"/>
      <c r="H38" s="87"/>
      <c r="I38" s="88"/>
      <c r="J38" s="89"/>
      <c r="K38" s="276"/>
      <c r="L38" s="91"/>
      <c r="M38" s="92"/>
      <c r="N38" s="93"/>
      <c r="O38" s="94"/>
      <c r="P38" s="95"/>
      <c r="Q38" s="96"/>
      <c r="R38" s="97"/>
      <c r="S38" s="277"/>
      <c r="T38" s="99">
        <f t="shared" si="11"/>
        <v>0</v>
      </c>
      <c r="U38" s="99">
        <f t="shared" si="12"/>
        <v>0</v>
      </c>
      <c r="V38" s="99">
        <f>T38*3.62</f>
        <v>0</v>
      </c>
      <c r="W38" s="100">
        <f t="shared" si="13"/>
        <v>0</v>
      </c>
      <c r="Y38" s="247"/>
    </row>
    <row r="39" ht="15.75" customHeight="1">
      <c r="B39" s="110"/>
      <c r="C39" s="110"/>
      <c r="D39" s="110"/>
      <c r="E39" s="110"/>
      <c r="F39" s="110"/>
      <c r="G39" s="103">
        <f t="shared" ref="G39:W39" si="14">SUM(G29:G38)</f>
        <v>0</v>
      </c>
      <c r="H39" s="103">
        <f t="shared" si="14"/>
        <v>0</v>
      </c>
      <c r="I39" s="103">
        <f t="shared" si="14"/>
        <v>0</v>
      </c>
      <c r="J39" s="103">
        <f t="shared" si="14"/>
        <v>0</v>
      </c>
      <c r="K39" s="103">
        <f t="shared" si="14"/>
        <v>0</v>
      </c>
      <c r="L39" s="103">
        <f t="shared" si="14"/>
        <v>0</v>
      </c>
      <c r="M39" s="103">
        <f t="shared" si="14"/>
        <v>0</v>
      </c>
      <c r="N39" s="103">
        <f t="shared" si="14"/>
        <v>0</v>
      </c>
      <c r="O39" s="103">
        <f t="shared" si="14"/>
        <v>0</v>
      </c>
      <c r="P39" s="103">
        <f t="shared" si="14"/>
        <v>0</v>
      </c>
      <c r="Q39" s="103">
        <f t="shared" si="14"/>
        <v>0</v>
      </c>
      <c r="R39" s="103">
        <f t="shared" si="14"/>
        <v>0</v>
      </c>
      <c r="S39" s="103">
        <f t="shared" si="14"/>
        <v>0</v>
      </c>
      <c r="T39" s="103">
        <f t="shared" si="14"/>
        <v>0</v>
      </c>
      <c r="U39" s="103">
        <f t="shared" si="14"/>
        <v>0</v>
      </c>
      <c r="V39" s="103">
        <f t="shared" si="14"/>
        <v>0</v>
      </c>
      <c r="W39" s="104">
        <f t="shared" si="14"/>
        <v>0</v>
      </c>
      <c r="Y39" s="223"/>
    </row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2:D2"/>
    <mergeCell ref="B27:D27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3.29"/>
    <col customWidth="1" min="3" max="3" width="16.71"/>
    <col customWidth="1" min="4" max="5" width="9.14"/>
    <col customWidth="1" min="6" max="6" width="10.29"/>
    <col customWidth="1" min="7" max="22" width="9.14"/>
    <col customWidth="1" min="23" max="23" width="11.71"/>
  </cols>
  <sheetData>
    <row r="2">
      <c r="B2" s="222" t="s">
        <v>265</v>
      </c>
      <c r="C2" s="107"/>
      <c r="D2" s="108"/>
      <c r="E2" s="110"/>
      <c r="F2" s="110"/>
      <c r="G2" s="151" t="s">
        <v>1</v>
      </c>
      <c r="H2" s="152" t="s">
        <v>2</v>
      </c>
      <c r="I2" s="153" t="s">
        <v>3</v>
      </c>
      <c r="J2" s="154" t="s">
        <v>4</v>
      </c>
      <c r="K2" s="155" t="s">
        <v>5</v>
      </c>
      <c r="L2" s="156" t="s">
        <v>6</v>
      </c>
      <c r="M2" s="157" t="s">
        <v>7</v>
      </c>
      <c r="N2" s="158" t="s">
        <v>8</v>
      </c>
      <c r="O2" s="159" t="s">
        <v>9</v>
      </c>
      <c r="P2" s="160" t="s">
        <v>10</v>
      </c>
      <c r="Q2" s="161" t="s">
        <v>11</v>
      </c>
      <c r="R2" s="162" t="s">
        <v>12</v>
      </c>
      <c r="S2" s="163" t="s">
        <v>13</v>
      </c>
      <c r="T2" s="110"/>
      <c r="U2" s="110"/>
      <c r="V2" s="110"/>
      <c r="W2" s="110"/>
    </row>
    <row r="3" ht="15.0" customHeight="1">
      <c r="B3" s="15" t="s">
        <v>14</v>
      </c>
      <c r="C3" s="16" t="s">
        <v>15</v>
      </c>
      <c r="D3" s="17" t="s">
        <v>16</v>
      </c>
      <c r="E3" s="17" t="s">
        <v>17</v>
      </c>
      <c r="F3" s="17" t="s">
        <v>133</v>
      </c>
      <c r="G3" s="19">
        <v>2.0</v>
      </c>
      <c r="H3" s="20">
        <v>5.0</v>
      </c>
      <c r="I3" s="21">
        <v>7.0</v>
      </c>
      <c r="J3" s="22">
        <v>10.0</v>
      </c>
      <c r="K3" s="23">
        <v>11.0</v>
      </c>
      <c r="L3" s="24">
        <v>12.0</v>
      </c>
      <c r="M3" s="25">
        <v>13.0</v>
      </c>
      <c r="N3" s="26">
        <v>16.0</v>
      </c>
      <c r="O3" s="27">
        <v>69.0</v>
      </c>
      <c r="P3" s="28">
        <v>76.0</v>
      </c>
      <c r="Q3" s="29">
        <v>77.0</v>
      </c>
      <c r="R3" s="30">
        <v>79.0</v>
      </c>
      <c r="S3" s="31">
        <v>81.0</v>
      </c>
      <c r="T3" s="32" t="s">
        <v>19</v>
      </c>
      <c r="U3" s="32" t="s">
        <v>20</v>
      </c>
      <c r="V3" s="32" t="s">
        <v>21</v>
      </c>
      <c r="W3" s="32" t="s">
        <v>22</v>
      </c>
    </row>
    <row r="4"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</row>
    <row r="5" ht="99.75" customHeight="1">
      <c r="B5" s="242" t="s">
        <v>266</v>
      </c>
      <c r="C5" s="272"/>
      <c r="D5" s="244">
        <v>10.0</v>
      </c>
      <c r="E5" s="244" t="s">
        <v>267</v>
      </c>
      <c r="F5" s="42">
        <v>77.0</v>
      </c>
      <c r="G5" s="128"/>
      <c r="H5" s="129"/>
      <c r="I5" s="130"/>
      <c r="J5" s="131"/>
      <c r="K5" s="132"/>
      <c r="L5" s="133"/>
      <c r="M5" s="134"/>
      <c r="N5" s="135"/>
      <c r="O5" s="136"/>
      <c r="P5" s="137"/>
      <c r="Q5" s="138"/>
      <c r="R5" s="139"/>
      <c r="S5" s="140"/>
      <c r="T5" s="245">
        <f>G5+H5+I5+J5+K5+L5+M5+N5+O5+P5+Q5+R5+S5</f>
        <v>0</v>
      </c>
      <c r="U5" s="245">
        <f>T5*D5</f>
        <v>0</v>
      </c>
      <c r="V5" s="278">
        <f>T5*1.12</f>
        <v>0</v>
      </c>
      <c r="W5" s="246">
        <f>T5*F5</f>
        <v>0</v>
      </c>
    </row>
    <row r="6" ht="99.75" customHeight="1">
      <c r="B6" s="39" t="s">
        <v>268</v>
      </c>
      <c r="C6" s="40"/>
      <c r="D6" s="41">
        <v>10.0</v>
      </c>
      <c r="E6" s="41" t="s">
        <v>269</v>
      </c>
      <c r="F6" s="42">
        <v>94.0</v>
      </c>
      <c r="G6" s="43"/>
      <c r="H6" s="44"/>
      <c r="I6" s="45"/>
      <c r="J6" s="46"/>
      <c r="K6" s="143"/>
      <c r="L6" s="48"/>
      <c r="M6" s="49"/>
      <c r="N6" s="50"/>
      <c r="O6" s="51"/>
      <c r="P6" s="52"/>
      <c r="Q6" s="53"/>
      <c r="R6" s="54"/>
      <c r="S6" s="55"/>
      <c r="T6" s="56">
        <f>SUM(G6:S6)</f>
        <v>0</v>
      </c>
      <c r="U6" s="56">
        <f>D6*T6</f>
        <v>0</v>
      </c>
      <c r="V6" s="279">
        <f>T6*1.49</f>
        <v>0</v>
      </c>
      <c r="W6" s="57">
        <f>F6*T6</f>
        <v>0</v>
      </c>
    </row>
    <row r="7" ht="99.75" customHeight="1">
      <c r="B7" s="248" t="s">
        <v>80</v>
      </c>
      <c r="C7" s="274"/>
      <c r="D7" s="250">
        <v>10.0</v>
      </c>
      <c r="E7" s="250" t="s">
        <v>270</v>
      </c>
      <c r="F7" s="42">
        <v>82.0</v>
      </c>
      <c r="G7" s="61"/>
      <c r="H7" s="62"/>
      <c r="I7" s="63"/>
      <c r="J7" s="64"/>
      <c r="K7" s="80"/>
      <c r="L7" s="66"/>
      <c r="M7" s="67"/>
      <c r="N7" s="68"/>
      <c r="O7" s="69"/>
      <c r="P7" s="70"/>
      <c r="Q7" s="71"/>
      <c r="R7" s="72"/>
      <c r="S7" s="73"/>
      <c r="T7" s="251">
        <f>G7+H7+I7+J7+K7+L7+M7+N7+O7+P7+Q7+R7+S7</f>
        <v>0</v>
      </c>
      <c r="U7" s="251">
        <f>T7*D7</f>
        <v>0</v>
      </c>
      <c r="V7" s="280">
        <f>T7*1.22</f>
        <v>0</v>
      </c>
      <c r="W7" s="252">
        <f>T7*F7</f>
        <v>0</v>
      </c>
    </row>
    <row r="8" ht="99.75" customHeight="1">
      <c r="B8" s="58" t="s">
        <v>271</v>
      </c>
      <c r="C8" s="59"/>
      <c r="D8" s="60">
        <v>10.0</v>
      </c>
      <c r="E8" s="60" t="s">
        <v>272</v>
      </c>
      <c r="F8" s="42">
        <v>71.25</v>
      </c>
      <c r="G8" s="61"/>
      <c r="H8" s="62"/>
      <c r="I8" s="63"/>
      <c r="J8" s="64"/>
      <c r="K8" s="80"/>
      <c r="L8" s="66"/>
      <c r="M8" s="67"/>
      <c r="N8" s="68"/>
      <c r="O8" s="69"/>
      <c r="P8" s="70"/>
      <c r="Q8" s="71"/>
      <c r="R8" s="72"/>
      <c r="S8" s="73"/>
      <c r="T8" s="74">
        <f>SUM(G8:S8)</f>
        <v>0</v>
      </c>
      <c r="U8" s="74">
        <f>D8*T8</f>
        <v>0</v>
      </c>
      <c r="V8" s="281">
        <f>T8*1</f>
        <v>0</v>
      </c>
      <c r="W8" s="75">
        <f>F8*T8</f>
        <v>0</v>
      </c>
    </row>
    <row r="9" ht="99.75" customHeight="1">
      <c r="B9" s="248" t="s">
        <v>273</v>
      </c>
      <c r="C9" s="274"/>
      <c r="D9" s="250">
        <v>10.0</v>
      </c>
      <c r="E9" s="250" t="s">
        <v>274</v>
      </c>
      <c r="F9" s="42">
        <v>161.73</v>
      </c>
      <c r="G9" s="61"/>
      <c r="H9" s="62"/>
      <c r="I9" s="63"/>
      <c r="J9" s="64"/>
      <c r="K9" s="80"/>
      <c r="L9" s="66"/>
      <c r="M9" s="67"/>
      <c r="N9" s="68"/>
      <c r="O9" s="69"/>
      <c r="P9" s="70"/>
      <c r="Q9" s="71"/>
      <c r="R9" s="72"/>
      <c r="S9" s="73"/>
      <c r="T9" s="251">
        <f>G9+H9+I9+J9+K9+L9+M9+N9+O9+P9+Q9+R9+S9</f>
        <v>0</v>
      </c>
      <c r="U9" s="251">
        <f>T9*D9</f>
        <v>0</v>
      </c>
      <c r="V9" s="280">
        <f>T9*3.1</f>
        <v>0</v>
      </c>
      <c r="W9" s="252">
        <f>T9*F9</f>
        <v>0</v>
      </c>
    </row>
    <row r="10" ht="99.75" customHeight="1">
      <c r="B10" s="58" t="s">
        <v>275</v>
      </c>
      <c r="C10" s="59"/>
      <c r="D10" s="60">
        <v>5.0</v>
      </c>
      <c r="E10" s="60" t="s">
        <v>276</v>
      </c>
      <c r="F10" s="42">
        <v>63.21</v>
      </c>
      <c r="G10" s="61"/>
      <c r="H10" s="62"/>
      <c r="I10" s="63"/>
      <c r="J10" s="64"/>
      <c r="K10" s="80"/>
      <c r="L10" s="66"/>
      <c r="M10" s="67"/>
      <c r="N10" s="68"/>
      <c r="O10" s="69"/>
      <c r="P10" s="70"/>
      <c r="Q10" s="71"/>
      <c r="R10" s="72"/>
      <c r="S10" s="73"/>
      <c r="T10" s="74">
        <f t="shared" ref="T10:T11" si="1">SUM(G10:S10)</f>
        <v>0</v>
      </c>
      <c r="U10" s="74">
        <f>D10*T10</f>
        <v>0</v>
      </c>
      <c r="V10" s="281">
        <f>T10*1.13</f>
        <v>0</v>
      </c>
      <c r="W10" s="75">
        <f>F10*T10</f>
        <v>0</v>
      </c>
    </row>
    <row r="11" ht="99.75" customHeight="1">
      <c r="B11" s="58" t="s">
        <v>73</v>
      </c>
      <c r="C11" s="59"/>
      <c r="D11" s="60">
        <v>10.0</v>
      </c>
      <c r="E11" s="60" t="s">
        <v>277</v>
      </c>
      <c r="F11" s="42">
        <v>86.55000000000001</v>
      </c>
      <c r="G11" s="61"/>
      <c r="H11" s="62"/>
      <c r="I11" s="63"/>
      <c r="J11" s="64"/>
      <c r="K11" s="80"/>
      <c r="L11" s="66"/>
      <c r="M11" s="67"/>
      <c r="N11" s="68"/>
      <c r="O11" s="69"/>
      <c r="P11" s="70"/>
      <c r="Q11" s="71"/>
      <c r="R11" s="72"/>
      <c r="S11" s="73"/>
      <c r="T11" s="74">
        <f t="shared" si="1"/>
        <v>0</v>
      </c>
      <c r="U11" s="74">
        <f t="shared" ref="U11:U12" si="2">T11*D11</f>
        <v>0</v>
      </c>
      <c r="V11" s="281">
        <f>T11*1.4</f>
        <v>0</v>
      </c>
      <c r="W11" s="75">
        <f t="shared" ref="W11:W12" si="3">T11*F11</f>
        <v>0</v>
      </c>
    </row>
    <row r="12" ht="99.75" customHeight="1">
      <c r="B12" s="248" t="s">
        <v>278</v>
      </c>
      <c r="C12" s="274"/>
      <c r="D12" s="250">
        <v>5.0</v>
      </c>
      <c r="E12" s="250" t="s">
        <v>279</v>
      </c>
      <c r="F12" s="42">
        <v>201.39</v>
      </c>
      <c r="G12" s="61"/>
      <c r="H12" s="62"/>
      <c r="I12" s="63"/>
      <c r="J12" s="64"/>
      <c r="K12" s="80"/>
      <c r="L12" s="66"/>
      <c r="M12" s="67"/>
      <c r="N12" s="68"/>
      <c r="O12" s="69"/>
      <c r="P12" s="70"/>
      <c r="Q12" s="71"/>
      <c r="R12" s="72"/>
      <c r="S12" s="73"/>
      <c r="T12" s="251">
        <f>G12+H12+I12+J12+K12+L12+M12+N12+O12+P12+Q12+R12+S12</f>
        <v>0</v>
      </c>
      <c r="U12" s="251">
        <f t="shared" si="2"/>
        <v>0</v>
      </c>
      <c r="V12" s="280">
        <f>T12*4.25</f>
        <v>0</v>
      </c>
      <c r="W12" s="252">
        <f t="shared" si="3"/>
        <v>0</v>
      </c>
    </row>
    <row r="13" ht="99.75" customHeight="1">
      <c r="B13" s="58" t="s">
        <v>280</v>
      </c>
      <c r="C13" s="59"/>
      <c r="D13" s="60">
        <v>5.0</v>
      </c>
      <c r="E13" s="60" t="s">
        <v>281</v>
      </c>
      <c r="F13" s="42">
        <v>148.14000000000001</v>
      </c>
      <c r="G13" s="61"/>
      <c r="H13" s="62"/>
      <c r="I13" s="63"/>
      <c r="J13" s="64"/>
      <c r="K13" s="80"/>
      <c r="L13" s="66"/>
      <c r="M13" s="67"/>
      <c r="N13" s="68"/>
      <c r="O13" s="69"/>
      <c r="P13" s="70"/>
      <c r="Q13" s="71"/>
      <c r="R13" s="72"/>
      <c r="S13" s="73"/>
      <c r="T13" s="74">
        <f t="shared" ref="T13:T14" si="4">SUM(G13:S13)</f>
        <v>0</v>
      </c>
      <c r="U13" s="74">
        <f t="shared" ref="U13:U14" si="5">D13*T13</f>
        <v>0</v>
      </c>
      <c r="V13" s="281">
        <f>T13*1.77</f>
        <v>0</v>
      </c>
      <c r="W13" s="75">
        <f t="shared" ref="W13:W14" si="6">F13*T13</f>
        <v>0</v>
      </c>
    </row>
    <row r="14" ht="99.75" customHeight="1">
      <c r="B14" s="58" t="s">
        <v>282</v>
      </c>
      <c r="C14" s="59"/>
      <c r="D14" s="60">
        <v>5.0</v>
      </c>
      <c r="E14" s="60" t="s">
        <v>283</v>
      </c>
      <c r="F14" s="42">
        <v>188.04</v>
      </c>
      <c r="G14" s="61"/>
      <c r="H14" s="62"/>
      <c r="I14" s="63"/>
      <c r="J14" s="64"/>
      <c r="K14" s="80"/>
      <c r="L14" s="66"/>
      <c r="M14" s="67"/>
      <c r="N14" s="68"/>
      <c r="O14" s="69"/>
      <c r="P14" s="70"/>
      <c r="Q14" s="71"/>
      <c r="R14" s="72"/>
      <c r="S14" s="73"/>
      <c r="T14" s="74">
        <f t="shared" si="4"/>
        <v>0</v>
      </c>
      <c r="U14" s="74">
        <f t="shared" si="5"/>
        <v>0</v>
      </c>
      <c r="V14" s="281">
        <f>T14*2.53</f>
        <v>0</v>
      </c>
      <c r="W14" s="75">
        <f t="shared" si="6"/>
        <v>0</v>
      </c>
    </row>
    <row r="15" ht="99.75" customHeight="1">
      <c r="B15" s="58" t="s">
        <v>284</v>
      </c>
      <c r="C15" s="59"/>
      <c r="D15" s="60">
        <v>3.0</v>
      </c>
      <c r="E15" s="60" t="s">
        <v>285</v>
      </c>
      <c r="F15" s="42">
        <v>92.69999999999999</v>
      </c>
      <c r="G15" s="61"/>
      <c r="H15" s="62"/>
      <c r="I15" s="63"/>
      <c r="J15" s="64"/>
      <c r="K15" s="80"/>
      <c r="L15" s="66"/>
      <c r="M15" s="67"/>
      <c r="N15" s="68"/>
      <c r="O15" s="69"/>
      <c r="P15" s="70"/>
      <c r="Q15" s="71"/>
      <c r="R15" s="72"/>
      <c r="S15" s="73"/>
      <c r="T15" s="74">
        <f>SUM(P15:S15)</f>
        <v>0</v>
      </c>
      <c r="U15" s="74">
        <f t="shared" ref="U15:U16" si="7">T15*D15</f>
        <v>0</v>
      </c>
      <c r="V15" s="281">
        <f>T15*1.2</f>
        <v>0</v>
      </c>
      <c r="W15" s="75">
        <f t="shared" ref="W15:W16" si="8">T15*F15</f>
        <v>0</v>
      </c>
    </row>
    <row r="16" ht="99.75" customHeight="1">
      <c r="B16" s="248" t="s">
        <v>286</v>
      </c>
      <c r="C16" s="274"/>
      <c r="D16" s="250">
        <v>10.0</v>
      </c>
      <c r="E16" s="250" t="s">
        <v>287</v>
      </c>
      <c r="F16" s="42">
        <v>110.01</v>
      </c>
      <c r="G16" s="61"/>
      <c r="H16" s="62"/>
      <c r="I16" s="63"/>
      <c r="J16" s="64"/>
      <c r="K16" s="65"/>
      <c r="L16" s="66"/>
      <c r="M16" s="67"/>
      <c r="N16" s="68"/>
      <c r="O16" s="69"/>
      <c r="P16" s="70"/>
      <c r="Q16" s="71"/>
      <c r="R16" s="72"/>
      <c r="S16" s="73"/>
      <c r="T16" s="251">
        <f>G16+H16+I16+J16+K16+L16+M16+N16+O16+P16+Q16+R16+S16</f>
        <v>0</v>
      </c>
      <c r="U16" s="251">
        <f t="shared" si="7"/>
        <v>0</v>
      </c>
      <c r="V16" s="280">
        <f>T16*1.86</f>
        <v>0</v>
      </c>
      <c r="W16" s="252">
        <f t="shared" si="8"/>
        <v>0</v>
      </c>
    </row>
    <row r="17" ht="99.75" customHeight="1">
      <c r="B17" s="58" t="s">
        <v>288</v>
      </c>
      <c r="C17" s="59"/>
      <c r="D17" s="60">
        <v>10.0</v>
      </c>
      <c r="E17" s="60" t="s">
        <v>289</v>
      </c>
      <c r="F17" s="42">
        <v>124.71000000000001</v>
      </c>
      <c r="G17" s="61"/>
      <c r="H17" s="62"/>
      <c r="I17" s="63"/>
      <c r="J17" s="64"/>
      <c r="K17" s="65"/>
      <c r="L17" s="66"/>
      <c r="M17" s="67"/>
      <c r="N17" s="68"/>
      <c r="O17" s="69"/>
      <c r="P17" s="70"/>
      <c r="Q17" s="71"/>
      <c r="R17" s="72"/>
      <c r="S17" s="73"/>
      <c r="T17" s="74">
        <f t="shared" ref="T17:T20" si="9">SUM(G17:S17)</f>
        <v>0</v>
      </c>
      <c r="U17" s="74">
        <f t="shared" ref="U17:U20" si="10">D17*T17</f>
        <v>0</v>
      </c>
      <c r="V17" s="281">
        <f>T17*2.2</f>
        <v>0</v>
      </c>
      <c r="W17" s="75">
        <f t="shared" ref="W17:W20" si="11">F17*T17</f>
        <v>0</v>
      </c>
    </row>
    <row r="18" ht="99.75" customHeight="1">
      <c r="B18" s="58" t="s">
        <v>94</v>
      </c>
      <c r="C18" s="59"/>
      <c r="D18" s="60">
        <v>10.0</v>
      </c>
      <c r="E18" s="60" t="s">
        <v>290</v>
      </c>
      <c r="F18" s="42">
        <v>158.91</v>
      </c>
      <c r="G18" s="61"/>
      <c r="H18" s="62"/>
      <c r="I18" s="63"/>
      <c r="J18" s="64"/>
      <c r="K18" s="65"/>
      <c r="L18" s="66"/>
      <c r="M18" s="67"/>
      <c r="N18" s="68"/>
      <c r="O18" s="69"/>
      <c r="P18" s="70"/>
      <c r="Q18" s="71"/>
      <c r="R18" s="72"/>
      <c r="S18" s="73"/>
      <c r="T18" s="74">
        <f t="shared" si="9"/>
        <v>0</v>
      </c>
      <c r="U18" s="74">
        <f t="shared" si="10"/>
        <v>0</v>
      </c>
      <c r="V18" s="281">
        <f>T18*3</f>
        <v>0</v>
      </c>
      <c r="W18" s="75">
        <f t="shared" si="11"/>
        <v>0</v>
      </c>
    </row>
    <row r="19" ht="99.75" customHeight="1">
      <c r="B19" s="58" t="s">
        <v>291</v>
      </c>
      <c r="C19" s="59"/>
      <c r="D19" s="60">
        <v>10.0</v>
      </c>
      <c r="E19" s="60" t="s">
        <v>292</v>
      </c>
      <c r="F19" s="42">
        <v>160.68</v>
      </c>
      <c r="G19" s="61"/>
      <c r="H19" s="62"/>
      <c r="I19" s="63"/>
      <c r="J19" s="64"/>
      <c r="K19" s="65"/>
      <c r="L19" s="66"/>
      <c r="M19" s="67"/>
      <c r="N19" s="68"/>
      <c r="O19" s="69"/>
      <c r="P19" s="70"/>
      <c r="Q19" s="71"/>
      <c r="R19" s="72"/>
      <c r="S19" s="73"/>
      <c r="T19" s="74">
        <f t="shared" si="9"/>
        <v>0</v>
      </c>
      <c r="U19" s="74">
        <f t="shared" si="10"/>
        <v>0</v>
      </c>
      <c r="V19" s="281">
        <f>T19*3.1</f>
        <v>0</v>
      </c>
      <c r="W19" s="75">
        <f t="shared" si="11"/>
        <v>0</v>
      </c>
    </row>
    <row r="20" ht="99.75" customHeight="1">
      <c r="B20" s="58" t="s">
        <v>293</v>
      </c>
      <c r="C20" s="59"/>
      <c r="D20" s="60">
        <v>10.0</v>
      </c>
      <c r="E20" s="60" t="s">
        <v>294</v>
      </c>
      <c r="F20" s="42">
        <v>183.48</v>
      </c>
      <c r="G20" s="61"/>
      <c r="H20" s="62"/>
      <c r="I20" s="63"/>
      <c r="J20" s="64"/>
      <c r="K20" s="65"/>
      <c r="L20" s="66"/>
      <c r="M20" s="67"/>
      <c r="N20" s="68"/>
      <c r="O20" s="69"/>
      <c r="P20" s="70"/>
      <c r="Q20" s="71"/>
      <c r="R20" s="72"/>
      <c r="S20" s="73"/>
      <c r="T20" s="74">
        <f t="shared" si="9"/>
        <v>0</v>
      </c>
      <c r="U20" s="74">
        <f t="shared" si="10"/>
        <v>0</v>
      </c>
      <c r="V20" s="281">
        <f>T20*3.53</f>
        <v>0</v>
      </c>
      <c r="W20" s="75">
        <f t="shared" si="11"/>
        <v>0</v>
      </c>
    </row>
    <row r="21" ht="99.75" customHeight="1">
      <c r="B21" s="248" t="s">
        <v>295</v>
      </c>
      <c r="C21" s="274"/>
      <c r="D21" s="250">
        <v>10.0</v>
      </c>
      <c r="E21" s="250" t="s">
        <v>296</v>
      </c>
      <c r="F21" s="42">
        <v>137.91</v>
      </c>
      <c r="G21" s="61"/>
      <c r="H21" s="62"/>
      <c r="I21" s="63"/>
      <c r="J21" s="64"/>
      <c r="K21" s="65"/>
      <c r="L21" s="66"/>
      <c r="M21" s="67"/>
      <c r="N21" s="68"/>
      <c r="O21" s="69"/>
      <c r="P21" s="70"/>
      <c r="Q21" s="71"/>
      <c r="R21" s="72"/>
      <c r="S21" s="73"/>
      <c r="T21" s="251">
        <f t="shared" ref="T21:T23" si="12">G21+H21+I21+J21+K21+L21+M21+N21+O21+P21+Q21+R21+S21</f>
        <v>0</v>
      </c>
      <c r="U21" s="251">
        <f t="shared" ref="U21:U33" si="13">T21*D21</f>
        <v>0</v>
      </c>
      <c r="V21" s="280">
        <f>T21*2.49</f>
        <v>0</v>
      </c>
      <c r="W21" s="252">
        <f t="shared" ref="W21:W33" si="14">T21*F21</f>
        <v>0</v>
      </c>
    </row>
    <row r="22" ht="99.75" customHeight="1">
      <c r="B22" s="248" t="s">
        <v>124</v>
      </c>
      <c r="C22" s="274"/>
      <c r="D22" s="250">
        <v>10.0</v>
      </c>
      <c r="E22" s="250" t="s">
        <v>297</v>
      </c>
      <c r="F22" s="42">
        <v>226.20000000000002</v>
      </c>
      <c r="G22" s="61"/>
      <c r="H22" s="62"/>
      <c r="I22" s="63"/>
      <c r="J22" s="64"/>
      <c r="K22" s="65"/>
      <c r="L22" s="66"/>
      <c r="M22" s="67"/>
      <c r="N22" s="68"/>
      <c r="O22" s="69"/>
      <c r="P22" s="70"/>
      <c r="Q22" s="71"/>
      <c r="R22" s="72"/>
      <c r="S22" s="73"/>
      <c r="T22" s="251">
        <f t="shared" si="12"/>
        <v>0</v>
      </c>
      <c r="U22" s="251">
        <f t="shared" si="13"/>
        <v>0</v>
      </c>
      <c r="V22" s="280">
        <f>T22*4.42</f>
        <v>0</v>
      </c>
      <c r="W22" s="252">
        <f t="shared" si="14"/>
        <v>0</v>
      </c>
    </row>
    <row r="23" ht="99.75" customHeight="1">
      <c r="B23" s="248" t="s">
        <v>126</v>
      </c>
      <c r="C23" s="274"/>
      <c r="D23" s="250">
        <v>10.0</v>
      </c>
      <c r="E23" s="250" t="s">
        <v>298</v>
      </c>
      <c r="F23" s="42">
        <v>177.69</v>
      </c>
      <c r="G23" s="61"/>
      <c r="H23" s="62"/>
      <c r="I23" s="63"/>
      <c r="J23" s="64"/>
      <c r="K23" s="65"/>
      <c r="L23" s="66"/>
      <c r="M23" s="67"/>
      <c r="N23" s="68"/>
      <c r="O23" s="69"/>
      <c r="P23" s="70"/>
      <c r="Q23" s="71"/>
      <c r="R23" s="72"/>
      <c r="S23" s="73"/>
      <c r="T23" s="251">
        <f t="shared" si="12"/>
        <v>0</v>
      </c>
      <c r="U23" s="251">
        <f t="shared" si="13"/>
        <v>0</v>
      </c>
      <c r="V23" s="280">
        <f>T23*3.4</f>
        <v>0</v>
      </c>
      <c r="W23" s="252">
        <f t="shared" si="14"/>
        <v>0</v>
      </c>
    </row>
    <row r="24" ht="99.75" customHeight="1">
      <c r="B24" s="58" t="s">
        <v>299</v>
      </c>
      <c r="C24" s="59"/>
      <c r="D24" s="60">
        <v>10.0</v>
      </c>
      <c r="E24" s="60" t="s">
        <v>300</v>
      </c>
      <c r="F24" s="42">
        <v>278.82</v>
      </c>
      <c r="G24" s="282"/>
      <c r="H24" s="62"/>
      <c r="I24" s="63"/>
      <c r="J24" s="64"/>
      <c r="K24" s="65"/>
      <c r="L24" s="66"/>
      <c r="M24" s="67"/>
      <c r="N24" s="68"/>
      <c r="O24" s="69"/>
      <c r="P24" s="70"/>
      <c r="Q24" s="71"/>
      <c r="R24" s="72"/>
      <c r="S24" s="73"/>
      <c r="T24" s="74">
        <f>G25+H24+I24+J24+K24+L24+M24+N24+O24+P24+Q24+R24+S24</f>
        <v>0</v>
      </c>
      <c r="U24" s="74">
        <f t="shared" si="13"/>
        <v>0</v>
      </c>
      <c r="V24" s="281">
        <f>T24*5.7</f>
        <v>0</v>
      </c>
      <c r="W24" s="75">
        <f t="shared" si="14"/>
        <v>0</v>
      </c>
    </row>
    <row r="25" ht="99.75" customHeight="1">
      <c r="B25" s="58" t="s">
        <v>186</v>
      </c>
      <c r="C25" s="59"/>
      <c r="D25" s="60">
        <v>5.0</v>
      </c>
      <c r="E25" s="60" t="s">
        <v>301</v>
      </c>
      <c r="F25" s="42">
        <v>181.0</v>
      </c>
      <c r="G25" s="61"/>
      <c r="H25" s="62"/>
      <c r="I25" s="63"/>
      <c r="J25" s="64"/>
      <c r="K25" s="80"/>
      <c r="L25" s="66"/>
      <c r="M25" s="67"/>
      <c r="N25" s="68"/>
      <c r="O25" s="69"/>
      <c r="P25" s="70"/>
      <c r="Q25" s="71"/>
      <c r="R25" s="72"/>
      <c r="S25" s="73"/>
      <c r="T25" s="74">
        <f t="shared" ref="T25:T27" si="15">G25+H25+I25+J25+K25+L25+M25+N25+O25+P25+Q25+R25+S25</f>
        <v>0</v>
      </c>
      <c r="U25" s="74">
        <f t="shared" si="13"/>
        <v>0</v>
      </c>
      <c r="V25" s="281">
        <f>T25*2.4</f>
        <v>0</v>
      </c>
      <c r="W25" s="75">
        <f t="shared" si="14"/>
        <v>0</v>
      </c>
    </row>
    <row r="26" ht="99.75" customHeight="1">
      <c r="B26" s="58" t="s">
        <v>190</v>
      </c>
      <c r="C26" s="59"/>
      <c r="D26" s="60">
        <v>5.0</v>
      </c>
      <c r="E26" s="60" t="s">
        <v>302</v>
      </c>
      <c r="F26" s="42">
        <v>258.0</v>
      </c>
      <c r="G26" s="61"/>
      <c r="H26" s="62"/>
      <c r="I26" s="63"/>
      <c r="J26" s="64"/>
      <c r="K26" s="80"/>
      <c r="L26" s="66"/>
      <c r="M26" s="67"/>
      <c r="N26" s="68"/>
      <c r="O26" s="69"/>
      <c r="P26" s="70"/>
      <c r="Q26" s="71"/>
      <c r="R26" s="72"/>
      <c r="S26" s="73"/>
      <c r="T26" s="74">
        <f t="shared" si="15"/>
        <v>0</v>
      </c>
      <c r="U26" s="74">
        <f t="shared" si="13"/>
        <v>0</v>
      </c>
      <c r="V26" s="281">
        <f>T26*3.88</f>
        <v>0</v>
      </c>
      <c r="W26" s="75">
        <f t="shared" si="14"/>
        <v>0</v>
      </c>
    </row>
    <row r="27" ht="99.75" customHeight="1">
      <c r="B27" s="58" t="s">
        <v>192</v>
      </c>
      <c r="C27" s="59"/>
      <c r="D27" s="60">
        <v>5.0</v>
      </c>
      <c r="E27" s="60" t="s">
        <v>303</v>
      </c>
      <c r="F27" s="42">
        <v>392.88</v>
      </c>
      <c r="G27" s="61"/>
      <c r="H27" s="62"/>
      <c r="I27" s="63"/>
      <c r="J27" s="64"/>
      <c r="K27" s="80"/>
      <c r="L27" s="66"/>
      <c r="M27" s="67"/>
      <c r="N27" s="68"/>
      <c r="O27" s="69"/>
      <c r="P27" s="70"/>
      <c r="Q27" s="71"/>
      <c r="R27" s="72"/>
      <c r="S27" s="73"/>
      <c r="T27" s="74">
        <f t="shared" si="15"/>
        <v>0</v>
      </c>
      <c r="U27" s="74">
        <f t="shared" si="13"/>
        <v>0</v>
      </c>
      <c r="V27" s="281">
        <f>T27*6.44</f>
        <v>0</v>
      </c>
      <c r="W27" s="75">
        <f t="shared" si="14"/>
        <v>0</v>
      </c>
    </row>
    <row r="28" ht="99.75" customHeight="1">
      <c r="B28" s="283" t="s">
        <v>304</v>
      </c>
      <c r="C28" s="59"/>
      <c r="D28" s="60">
        <v>3.0</v>
      </c>
      <c r="E28" s="60" t="s">
        <v>305</v>
      </c>
      <c r="F28" s="42">
        <v>186.0</v>
      </c>
      <c r="G28" s="61"/>
      <c r="H28" s="62"/>
      <c r="I28" s="63"/>
      <c r="J28" s="64"/>
      <c r="K28" s="80"/>
      <c r="L28" s="66"/>
      <c r="M28" s="67"/>
      <c r="N28" s="68"/>
      <c r="O28" s="69"/>
      <c r="P28" s="70"/>
      <c r="Q28" s="71"/>
      <c r="R28" s="72"/>
      <c r="S28" s="73"/>
      <c r="T28" s="74">
        <f t="shared" ref="T28:T31" si="16">SUM(G28:S28)</f>
        <v>0</v>
      </c>
      <c r="U28" s="74">
        <f t="shared" si="13"/>
        <v>0</v>
      </c>
      <c r="V28" s="281">
        <f>T28*3</f>
        <v>0</v>
      </c>
      <c r="W28" s="75">
        <f t="shared" si="14"/>
        <v>0</v>
      </c>
    </row>
    <row r="29" ht="99.75" customHeight="1">
      <c r="B29" s="58" t="s">
        <v>306</v>
      </c>
      <c r="C29" s="59"/>
      <c r="D29" s="60">
        <v>3.0</v>
      </c>
      <c r="E29" s="60" t="s">
        <v>307</v>
      </c>
      <c r="F29" s="42">
        <v>198.0</v>
      </c>
      <c r="G29" s="61"/>
      <c r="H29" s="62"/>
      <c r="I29" s="63"/>
      <c r="J29" s="64"/>
      <c r="K29" s="80"/>
      <c r="L29" s="66"/>
      <c r="M29" s="67"/>
      <c r="N29" s="68"/>
      <c r="O29" s="69"/>
      <c r="P29" s="70"/>
      <c r="Q29" s="71"/>
      <c r="R29" s="72"/>
      <c r="S29" s="73"/>
      <c r="T29" s="74">
        <f t="shared" si="16"/>
        <v>0</v>
      </c>
      <c r="U29" s="74">
        <f t="shared" si="13"/>
        <v>0</v>
      </c>
      <c r="V29" s="281">
        <f>T29*3.18</f>
        <v>0</v>
      </c>
      <c r="W29" s="75">
        <f t="shared" si="14"/>
        <v>0</v>
      </c>
    </row>
    <row r="30" ht="99.75" customHeight="1">
      <c r="B30" s="283" t="s">
        <v>308</v>
      </c>
      <c r="C30" s="59"/>
      <c r="D30" s="60">
        <v>3.0</v>
      </c>
      <c r="E30" s="60" t="s">
        <v>309</v>
      </c>
      <c r="F30" s="42">
        <v>170.0</v>
      </c>
      <c r="G30" s="61"/>
      <c r="H30" s="62"/>
      <c r="I30" s="63"/>
      <c r="J30" s="64"/>
      <c r="K30" s="80"/>
      <c r="L30" s="66"/>
      <c r="M30" s="67"/>
      <c r="N30" s="68"/>
      <c r="O30" s="69"/>
      <c r="P30" s="70"/>
      <c r="Q30" s="71"/>
      <c r="R30" s="72"/>
      <c r="S30" s="73"/>
      <c r="T30" s="74">
        <f t="shared" si="16"/>
        <v>0</v>
      </c>
      <c r="U30" s="74">
        <f t="shared" si="13"/>
        <v>0</v>
      </c>
      <c r="V30" s="281">
        <f>T30*2.7</f>
        <v>0</v>
      </c>
      <c r="W30" s="75">
        <f t="shared" si="14"/>
        <v>0</v>
      </c>
    </row>
    <row r="31" ht="99.75" customHeight="1">
      <c r="B31" s="58" t="s">
        <v>310</v>
      </c>
      <c r="C31" s="59"/>
      <c r="D31" s="60">
        <v>2.0</v>
      </c>
      <c r="E31" s="60" t="s">
        <v>311</v>
      </c>
      <c r="F31" s="42">
        <v>353.0</v>
      </c>
      <c r="G31" s="61"/>
      <c r="H31" s="62"/>
      <c r="I31" s="63"/>
      <c r="J31" s="64"/>
      <c r="K31" s="80"/>
      <c r="L31" s="66"/>
      <c r="M31" s="67"/>
      <c r="N31" s="68"/>
      <c r="O31" s="69"/>
      <c r="P31" s="70"/>
      <c r="Q31" s="71"/>
      <c r="R31" s="72"/>
      <c r="S31" s="73"/>
      <c r="T31" s="74">
        <f t="shared" si="16"/>
        <v>0</v>
      </c>
      <c r="U31" s="74">
        <f t="shared" si="13"/>
        <v>0</v>
      </c>
      <c r="V31" s="281">
        <f>T31*6.4</f>
        <v>0</v>
      </c>
      <c r="W31" s="75">
        <f t="shared" si="14"/>
        <v>0</v>
      </c>
    </row>
    <row r="32" ht="99.75" customHeight="1">
      <c r="B32" s="58" t="s">
        <v>312</v>
      </c>
      <c r="C32" s="59"/>
      <c r="D32" s="60">
        <v>1.0</v>
      </c>
      <c r="E32" s="60" t="s">
        <v>313</v>
      </c>
      <c r="F32" s="42">
        <v>131.73</v>
      </c>
      <c r="G32" s="61"/>
      <c r="H32" s="62"/>
      <c r="I32" s="63"/>
      <c r="J32" s="64"/>
      <c r="K32" s="80"/>
      <c r="L32" s="66"/>
      <c r="M32" s="67"/>
      <c r="N32" s="68"/>
      <c r="O32" s="69"/>
      <c r="P32" s="70"/>
      <c r="Q32" s="71"/>
      <c r="R32" s="72"/>
      <c r="S32" s="73"/>
      <c r="T32" s="74">
        <f>G32+H32+I32+J32+K32+L32+M32+N32+O32+P32+Q32+R32+S32</f>
        <v>0</v>
      </c>
      <c r="U32" s="74">
        <f t="shared" si="13"/>
        <v>0</v>
      </c>
      <c r="V32" s="281">
        <f>T32*2.35</f>
        <v>0</v>
      </c>
      <c r="W32" s="75">
        <f t="shared" si="14"/>
        <v>0</v>
      </c>
    </row>
    <row r="33" ht="99.75" customHeight="1">
      <c r="B33" s="83" t="s">
        <v>314</v>
      </c>
      <c r="C33" s="84"/>
      <c r="D33" s="85">
        <v>1.0</v>
      </c>
      <c r="E33" s="85" t="s">
        <v>315</v>
      </c>
      <c r="F33" s="42">
        <v>177.81</v>
      </c>
      <c r="G33" s="86"/>
      <c r="H33" s="87"/>
      <c r="I33" s="88"/>
      <c r="J33" s="89"/>
      <c r="K33" s="90"/>
      <c r="L33" s="91"/>
      <c r="M33" s="92"/>
      <c r="N33" s="93"/>
      <c r="O33" s="94"/>
      <c r="P33" s="95"/>
      <c r="Q33" s="96"/>
      <c r="R33" s="97"/>
      <c r="S33" s="98"/>
      <c r="T33" s="99">
        <f>SUM(G33:S33)</f>
        <v>0</v>
      </c>
      <c r="U33" s="99">
        <f t="shared" si="13"/>
        <v>0</v>
      </c>
      <c r="V33" s="99">
        <f>T33*3.23</f>
        <v>0</v>
      </c>
      <c r="W33" s="100">
        <f t="shared" si="14"/>
        <v>0</v>
      </c>
    </row>
    <row r="34" ht="15.75" customHeight="1">
      <c r="B34" s="101"/>
      <c r="C34" s="101"/>
      <c r="D34" s="101"/>
      <c r="E34" s="101"/>
      <c r="F34" s="102"/>
      <c r="G34" s="103">
        <f t="shared" ref="G34:W34" si="17">SUM(G5:G33)</f>
        <v>0</v>
      </c>
      <c r="H34" s="103">
        <f t="shared" si="17"/>
        <v>0</v>
      </c>
      <c r="I34" s="103">
        <f t="shared" si="17"/>
        <v>0</v>
      </c>
      <c r="J34" s="103">
        <f t="shared" si="17"/>
        <v>0</v>
      </c>
      <c r="K34" s="103">
        <f t="shared" si="17"/>
        <v>0</v>
      </c>
      <c r="L34" s="103">
        <f t="shared" si="17"/>
        <v>0</v>
      </c>
      <c r="M34" s="103">
        <f t="shared" si="17"/>
        <v>0</v>
      </c>
      <c r="N34" s="103">
        <f t="shared" si="17"/>
        <v>0</v>
      </c>
      <c r="O34" s="103">
        <f t="shared" si="17"/>
        <v>0</v>
      </c>
      <c r="P34" s="103">
        <f t="shared" si="17"/>
        <v>0</v>
      </c>
      <c r="Q34" s="103">
        <f t="shared" si="17"/>
        <v>0</v>
      </c>
      <c r="R34" s="103">
        <f t="shared" si="17"/>
        <v>0</v>
      </c>
      <c r="S34" s="103">
        <f t="shared" si="17"/>
        <v>0</v>
      </c>
      <c r="T34" s="103">
        <f t="shared" si="17"/>
        <v>0</v>
      </c>
      <c r="U34" s="103">
        <f t="shared" si="17"/>
        <v>0</v>
      </c>
      <c r="V34" s="103">
        <f t="shared" si="17"/>
        <v>0</v>
      </c>
      <c r="W34" s="104">
        <f t="shared" si="17"/>
        <v>0</v>
      </c>
    </row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B2:D2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4.0"/>
    <col customWidth="1" min="3" max="3" width="19.43"/>
    <col customWidth="1" min="4" max="5" width="9.14"/>
    <col customWidth="1" min="6" max="6" width="10.43"/>
    <col customWidth="1" min="7" max="11" width="9.71"/>
    <col customWidth="1" min="12" max="13" width="10.29"/>
    <col customWidth="1" min="14" max="15" width="9.71"/>
    <col customWidth="1" min="16" max="17" width="9.29"/>
    <col customWidth="1" min="18" max="18" width="9.71"/>
    <col customWidth="1" min="19" max="19" width="10.43"/>
    <col customWidth="1" min="20" max="20" width="5.14"/>
    <col customWidth="1" min="21" max="22" width="9.14"/>
    <col customWidth="1" min="23" max="23" width="11.57"/>
  </cols>
  <sheetData>
    <row r="2">
      <c r="B2" s="106" t="s">
        <v>316</v>
      </c>
      <c r="C2" s="107"/>
      <c r="D2" s="108"/>
      <c r="E2" s="101"/>
      <c r="F2" s="102"/>
      <c r="G2" s="2" t="s">
        <v>1</v>
      </c>
      <c r="H2" s="3" t="s">
        <v>2</v>
      </c>
      <c r="I2" s="4" t="s">
        <v>3</v>
      </c>
      <c r="J2" s="5" t="s">
        <v>4</v>
      </c>
      <c r="K2" s="6" t="s">
        <v>5</v>
      </c>
      <c r="L2" s="7" t="s">
        <v>6</v>
      </c>
      <c r="M2" s="8" t="s">
        <v>7</v>
      </c>
      <c r="N2" s="9" t="s">
        <v>8</v>
      </c>
      <c r="O2" s="10" t="s">
        <v>9</v>
      </c>
      <c r="P2" s="11" t="s">
        <v>10</v>
      </c>
      <c r="Q2" s="12" t="s">
        <v>11</v>
      </c>
      <c r="R2" s="13" t="s">
        <v>12</v>
      </c>
      <c r="S2" s="14" t="s">
        <v>13</v>
      </c>
      <c r="T2" s="110"/>
      <c r="U2" s="110"/>
      <c r="V2" s="110"/>
      <c r="W2" s="111"/>
    </row>
    <row r="3">
      <c r="B3" s="15" t="s">
        <v>14</v>
      </c>
      <c r="C3" s="16"/>
      <c r="D3" s="17" t="s">
        <v>16</v>
      </c>
      <c r="E3" s="17" t="s">
        <v>17</v>
      </c>
      <c r="F3" s="17" t="s">
        <v>133</v>
      </c>
      <c r="G3" s="112">
        <v>2.0</v>
      </c>
      <c r="H3" s="113">
        <v>5.0</v>
      </c>
      <c r="I3" s="114">
        <v>7.0</v>
      </c>
      <c r="J3" s="115">
        <v>10.0</v>
      </c>
      <c r="K3" s="116">
        <v>11.0</v>
      </c>
      <c r="L3" s="117">
        <v>12.0</v>
      </c>
      <c r="M3" s="118">
        <v>13.0</v>
      </c>
      <c r="N3" s="119">
        <v>16.0</v>
      </c>
      <c r="O3" s="120">
        <v>69.0</v>
      </c>
      <c r="P3" s="121">
        <v>76.0</v>
      </c>
      <c r="Q3" s="122">
        <v>77.0</v>
      </c>
      <c r="R3" s="32">
        <v>79.0</v>
      </c>
      <c r="S3" s="123">
        <v>81.0</v>
      </c>
      <c r="T3" s="32" t="s">
        <v>19</v>
      </c>
      <c r="U3" s="32" t="s">
        <v>20</v>
      </c>
      <c r="V3" s="32" t="s">
        <v>21</v>
      </c>
      <c r="W3" s="33" t="s">
        <v>22</v>
      </c>
    </row>
    <row r="4">
      <c r="B4" s="101"/>
      <c r="C4" s="101"/>
      <c r="D4" s="101"/>
      <c r="E4" s="101"/>
      <c r="F4" s="102"/>
      <c r="G4" s="110"/>
      <c r="H4" s="110"/>
      <c r="I4" s="110"/>
      <c r="J4" s="124"/>
      <c r="K4" s="110"/>
      <c r="L4" s="110"/>
      <c r="M4" s="110"/>
      <c r="N4" s="110"/>
      <c r="O4" s="110"/>
      <c r="P4" s="110"/>
      <c r="Q4" s="110"/>
      <c r="R4" s="110"/>
      <c r="S4" s="124"/>
      <c r="T4" s="110"/>
      <c r="U4" s="110"/>
      <c r="V4" s="110"/>
      <c r="W4" s="111"/>
    </row>
    <row r="5" ht="109.5" customHeight="1">
      <c r="B5" s="125" t="s">
        <v>271</v>
      </c>
      <c r="C5" s="126"/>
      <c r="D5" s="127">
        <v>10.0</v>
      </c>
      <c r="E5" s="127" t="s">
        <v>317</v>
      </c>
      <c r="F5" s="284">
        <v>67.0</v>
      </c>
      <c r="G5" s="128"/>
      <c r="H5" s="129"/>
      <c r="I5" s="130"/>
      <c r="J5" s="131"/>
      <c r="K5" s="132"/>
      <c r="L5" s="133"/>
      <c r="M5" s="134"/>
      <c r="N5" s="135"/>
      <c r="O5" s="136"/>
      <c r="P5" s="137"/>
      <c r="Q5" s="138"/>
      <c r="R5" s="139"/>
      <c r="S5" s="140"/>
      <c r="T5" s="141">
        <f t="shared" ref="T5:T10" si="1">SUM(G5:S5)</f>
        <v>0</v>
      </c>
      <c r="U5" s="141">
        <f>D5*T5</f>
        <v>0</v>
      </c>
      <c r="V5" s="141">
        <f>T5*0.884</f>
        <v>0</v>
      </c>
      <c r="W5" s="142">
        <f>F5*T5</f>
        <v>0</v>
      </c>
    </row>
    <row r="6" ht="109.5" customHeight="1">
      <c r="B6" s="39" t="s">
        <v>25</v>
      </c>
      <c r="C6" s="40"/>
      <c r="D6" s="41">
        <v>5.0</v>
      </c>
      <c r="E6" s="41" t="s">
        <v>318</v>
      </c>
      <c r="F6" s="285">
        <v>44.0</v>
      </c>
      <c r="G6" s="43"/>
      <c r="H6" s="44"/>
      <c r="I6" s="45"/>
      <c r="J6" s="46"/>
      <c r="K6" s="143"/>
      <c r="L6" s="48"/>
      <c r="M6" s="49"/>
      <c r="N6" s="50"/>
      <c r="O6" s="51"/>
      <c r="P6" s="52"/>
      <c r="Q6" s="53"/>
      <c r="R6" s="54"/>
      <c r="S6" s="55"/>
      <c r="T6" s="56">
        <f t="shared" si="1"/>
        <v>0</v>
      </c>
      <c r="U6" s="56">
        <f>T6*D6</f>
        <v>0</v>
      </c>
      <c r="V6" s="56">
        <f>T6*0.706</f>
        <v>0</v>
      </c>
      <c r="W6" s="57">
        <f>T6*F6</f>
        <v>0</v>
      </c>
    </row>
    <row r="7" ht="109.5" customHeight="1">
      <c r="B7" s="58" t="s">
        <v>75</v>
      </c>
      <c r="C7" s="59"/>
      <c r="D7" s="60">
        <v>10.0</v>
      </c>
      <c r="E7" s="60" t="s">
        <v>319</v>
      </c>
      <c r="F7" s="42">
        <v>84.0</v>
      </c>
      <c r="G7" s="61"/>
      <c r="H7" s="62"/>
      <c r="I7" s="63"/>
      <c r="J7" s="64"/>
      <c r="K7" s="80"/>
      <c r="L7" s="66"/>
      <c r="M7" s="67"/>
      <c r="N7" s="68"/>
      <c r="O7" s="69"/>
      <c r="P7" s="70"/>
      <c r="Q7" s="71"/>
      <c r="R7" s="72"/>
      <c r="S7" s="73"/>
      <c r="T7" s="74">
        <f t="shared" si="1"/>
        <v>0</v>
      </c>
      <c r="U7" s="74">
        <f t="shared" ref="U7:U16" si="2">D7*T7</f>
        <v>0</v>
      </c>
      <c r="V7" s="74">
        <f>T7*1.323</f>
        <v>0</v>
      </c>
      <c r="W7" s="75">
        <f t="shared" ref="W7:W16" si="3">F7*T7</f>
        <v>0</v>
      </c>
    </row>
    <row r="8" ht="109.5" customHeight="1">
      <c r="B8" s="39" t="s">
        <v>320</v>
      </c>
      <c r="C8" s="40"/>
      <c r="D8" s="41">
        <v>10.0</v>
      </c>
      <c r="E8" s="41" t="s">
        <v>321</v>
      </c>
      <c r="F8" s="285">
        <v>114.0</v>
      </c>
      <c r="G8" s="43"/>
      <c r="H8" s="44"/>
      <c r="I8" s="45"/>
      <c r="J8" s="46"/>
      <c r="K8" s="143"/>
      <c r="L8" s="48"/>
      <c r="M8" s="49"/>
      <c r="N8" s="50"/>
      <c r="O8" s="51"/>
      <c r="P8" s="52"/>
      <c r="Q8" s="53"/>
      <c r="R8" s="54"/>
      <c r="S8" s="55"/>
      <c r="T8" s="56">
        <f t="shared" si="1"/>
        <v>0</v>
      </c>
      <c r="U8" s="56">
        <f t="shared" si="2"/>
        <v>0</v>
      </c>
      <c r="V8" s="56">
        <f>T8*2</f>
        <v>0</v>
      </c>
      <c r="W8" s="57">
        <f t="shared" si="3"/>
        <v>0</v>
      </c>
    </row>
    <row r="9" ht="109.5" customHeight="1">
      <c r="B9" s="286" t="s">
        <v>322</v>
      </c>
      <c r="C9" s="40"/>
      <c r="D9" s="41">
        <v>10.0</v>
      </c>
      <c r="E9" s="41" t="s">
        <v>323</v>
      </c>
      <c r="F9" s="285">
        <v>130.0</v>
      </c>
      <c r="G9" s="43"/>
      <c r="H9" s="44"/>
      <c r="I9" s="45"/>
      <c r="J9" s="46"/>
      <c r="K9" s="143"/>
      <c r="L9" s="48"/>
      <c r="M9" s="49"/>
      <c r="N9" s="50"/>
      <c r="O9" s="51"/>
      <c r="P9" s="52"/>
      <c r="Q9" s="53"/>
      <c r="R9" s="54"/>
      <c r="S9" s="55"/>
      <c r="T9" s="56">
        <f t="shared" si="1"/>
        <v>0</v>
      </c>
      <c r="U9" s="56">
        <f t="shared" si="2"/>
        <v>0</v>
      </c>
      <c r="V9" s="56">
        <f>T9*1.71</f>
        <v>0</v>
      </c>
      <c r="W9" s="57">
        <f t="shared" si="3"/>
        <v>0</v>
      </c>
    </row>
    <row r="10" ht="109.5" customHeight="1">
      <c r="B10" s="286" t="s">
        <v>324</v>
      </c>
      <c r="C10" s="40"/>
      <c r="D10" s="41">
        <v>10.0</v>
      </c>
      <c r="E10" s="41" t="s">
        <v>325</v>
      </c>
      <c r="F10" s="285">
        <v>136.0</v>
      </c>
      <c r="G10" s="43"/>
      <c r="H10" s="44"/>
      <c r="I10" s="45"/>
      <c r="J10" s="46"/>
      <c r="K10" s="143"/>
      <c r="L10" s="48"/>
      <c r="M10" s="49"/>
      <c r="N10" s="50"/>
      <c r="O10" s="51"/>
      <c r="P10" s="52"/>
      <c r="Q10" s="53"/>
      <c r="R10" s="54"/>
      <c r="S10" s="55"/>
      <c r="T10" s="56">
        <f t="shared" si="1"/>
        <v>0</v>
      </c>
      <c r="U10" s="56">
        <f t="shared" si="2"/>
        <v>0</v>
      </c>
      <c r="V10" s="56">
        <f>T10*2.473</f>
        <v>0</v>
      </c>
      <c r="W10" s="57">
        <f t="shared" si="3"/>
        <v>0</v>
      </c>
    </row>
    <row r="11" ht="109.5" customHeight="1">
      <c r="B11" s="286" t="s">
        <v>326</v>
      </c>
      <c r="C11" s="217"/>
      <c r="D11" s="41">
        <v>3.0</v>
      </c>
      <c r="E11" s="41" t="s">
        <v>327</v>
      </c>
      <c r="F11" s="285">
        <v>80.0</v>
      </c>
      <c r="G11" s="43"/>
      <c r="H11" s="44"/>
      <c r="I11" s="45"/>
      <c r="J11" s="46"/>
      <c r="K11" s="143"/>
      <c r="L11" s="48"/>
      <c r="M11" s="49"/>
      <c r="N11" s="50"/>
      <c r="O11" s="51"/>
      <c r="P11" s="52"/>
      <c r="Q11" s="53"/>
      <c r="R11" s="54"/>
      <c r="S11" s="55"/>
      <c r="T11" s="56">
        <f>SUM(O11:S11)</f>
        <v>0</v>
      </c>
      <c r="U11" s="56">
        <f t="shared" si="2"/>
        <v>0</v>
      </c>
      <c r="V11" s="56">
        <f>T11*0.91</f>
        <v>0</v>
      </c>
      <c r="W11" s="57">
        <f t="shared" si="3"/>
        <v>0</v>
      </c>
    </row>
    <row r="12" ht="109.5" customHeight="1">
      <c r="B12" s="286" t="s">
        <v>328</v>
      </c>
      <c r="C12" s="217"/>
      <c r="D12" s="41">
        <v>3.0</v>
      </c>
      <c r="E12" s="41" t="s">
        <v>329</v>
      </c>
      <c r="F12" s="285">
        <v>76.0</v>
      </c>
      <c r="G12" s="43"/>
      <c r="H12" s="44"/>
      <c r="I12" s="45"/>
      <c r="J12" s="46"/>
      <c r="K12" s="143"/>
      <c r="L12" s="48"/>
      <c r="M12" s="49"/>
      <c r="N12" s="50"/>
      <c r="O12" s="51"/>
      <c r="P12" s="52"/>
      <c r="Q12" s="53"/>
      <c r="R12" s="54"/>
      <c r="S12" s="55"/>
      <c r="T12" s="56">
        <f t="shared" ref="T12:T16" si="4">SUM(G12:S12)</f>
        <v>0</v>
      </c>
      <c r="U12" s="56">
        <f t="shared" si="2"/>
        <v>0</v>
      </c>
      <c r="V12" s="56">
        <f>T12*0.84</f>
        <v>0</v>
      </c>
      <c r="W12" s="57">
        <f t="shared" si="3"/>
        <v>0</v>
      </c>
    </row>
    <row r="13" ht="109.5" customHeight="1">
      <c r="B13" s="286" t="s">
        <v>330</v>
      </c>
      <c r="C13" s="217"/>
      <c r="D13" s="41">
        <v>3.0</v>
      </c>
      <c r="E13" s="41" t="s">
        <v>331</v>
      </c>
      <c r="F13" s="285">
        <v>121.0</v>
      </c>
      <c r="G13" s="43"/>
      <c r="H13" s="44"/>
      <c r="I13" s="45"/>
      <c r="J13" s="46"/>
      <c r="K13" s="143"/>
      <c r="L13" s="48"/>
      <c r="M13" s="49"/>
      <c r="N13" s="50"/>
      <c r="O13" s="51"/>
      <c r="P13" s="52"/>
      <c r="Q13" s="53"/>
      <c r="R13" s="54"/>
      <c r="S13" s="55"/>
      <c r="T13" s="56">
        <f t="shared" si="4"/>
        <v>0</v>
      </c>
      <c r="U13" s="56">
        <f t="shared" si="2"/>
        <v>0</v>
      </c>
      <c r="V13" s="56">
        <f>T13*1.7</f>
        <v>0</v>
      </c>
      <c r="W13" s="57">
        <f t="shared" si="3"/>
        <v>0</v>
      </c>
    </row>
    <row r="14" ht="109.5" customHeight="1">
      <c r="B14" s="39" t="s">
        <v>174</v>
      </c>
      <c r="C14" s="40"/>
      <c r="D14" s="41">
        <v>3.0</v>
      </c>
      <c r="E14" s="41" t="s">
        <v>332</v>
      </c>
      <c r="F14" s="285">
        <v>193.0</v>
      </c>
      <c r="G14" s="43"/>
      <c r="H14" s="44"/>
      <c r="I14" s="45"/>
      <c r="J14" s="46"/>
      <c r="K14" s="143"/>
      <c r="L14" s="48"/>
      <c r="M14" s="49"/>
      <c r="N14" s="50"/>
      <c r="O14" s="51"/>
      <c r="P14" s="52"/>
      <c r="Q14" s="53"/>
      <c r="R14" s="54"/>
      <c r="S14" s="55"/>
      <c r="T14" s="56">
        <f t="shared" si="4"/>
        <v>0</v>
      </c>
      <c r="U14" s="56">
        <f t="shared" si="2"/>
        <v>0</v>
      </c>
      <c r="V14" s="56">
        <f>T14*3.1</f>
        <v>0</v>
      </c>
      <c r="W14" s="57">
        <f t="shared" si="3"/>
        <v>0</v>
      </c>
    </row>
    <row r="15" ht="109.5" customHeight="1">
      <c r="B15" s="58" t="s">
        <v>176</v>
      </c>
      <c r="C15" s="59"/>
      <c r="D15" s="60">
        <v>3.0</v>
      </c>
      <c r="E15" s="60" t="s">
        <v>333</v>
      </c>
      <c r="F15" s="42">
        <v>202.0</v>
      </c>
      <c r="G15" s="61"/>
      <c r="H15" s="62"/>
      <c r="I15" s="63"/>
      <c r="J15" s="64"/>
      <c r="K15" s="80"/>
      <c r="L15" s="66"/>
      <c r="M15" s="67"/>
      <c r="N15" s="68"/>
      <c r="O15" s="69"/>
      <c r="P15" s="70"/>
      <c r="Q15" s="71"/>
      <c r="R15" s="72"/>
      <c r="S15" s="73"/>
      <c r="T15" s="74">
        <f t="shared" si="4"/>
        <v>0</v>
      </c>
      <c r="U15" s="74">
        <f t="shared" si="2"/>
        <v>0</v>
      </c>
      <c r="V15" s="74">
        <f>T15*3.3</f>
        <v>0</v>
      </c>
      <c r="W15" s="75">
        <f t="shared" si="3"/>
        <v>0</v>
      </c>
    </row>
    <row r="16" ht="109.5" customHeight="1">
      <c r="B16" s="58" t="s">
        <v>334</v>
      </c>
      <c r="C16" s="59"/>
      <c r="D16" s="60">
        <v>3.0</v>
      </c>
      <c r="E16" s="60" t="s">
        <v>335</v>
      </c>
      <c r="F16" s="42">
        <v>274.0</v>
      </c>
      <c r="G16" s="61"/>
      <c r="H16" s="62"/>
      <c r="I16" s="63"/>
      <c r="J16" s="64"/>
      <c r="K16" s="80"/>
      <c r="L16" s="66"/>
      <c r="M16" s="67"/>
      <c r="N16" s="68"/>
      <c r="O16" s="69"/>
      <c r="P16" s="70"/>
      <c r="Q16" s="71"/>
      <c r="R16" s="72"/>
      <c r="S16" s="73"/>
      <c r="T16" s="74">
        <f t="shared" si="4"/>
        <v>0</v>
      </c>
      <c r="U16" s="74">
        <f t="shared" si="2"/>
        <v>0</v>
      </c>
      <c r="V16" s="74">
        <f>T16*4.637</f>
        <v>0</v>
      </c>
      <c r="W16" s="75">
        <f t="shared" si="3"/>
        <v>0</v>
      </c>
    </row>
    <row r="17">
      <c r="G17" s="287">
        <f t="shared" ref="G17:W17" si="5">SUM(G5:G16)</f>
        <v>0</v>
      </c>
      <c r="H17" s="287">
        <f t="shared" si="5"/>
        <v>0</v>
      </c>
      <c r="I17" s="287">
        <f t="shared" si="5"/>
        <v>0</v>
      </c>
      <c r="J17" s="287">
        <f t="shared" si="5"/>
        <v>0</v>
      </c>
      <c r="K17" s="287">
        <f t="shared" si="5"/>
        <v>0</v>
      </c>
      <c r="L17" s="287">
        <f t="shared" si="5"/>
        <v>0</v>
      </c>
      <c r="M17" s="287">
        <f t="shared" si="5"/>
        <v>0</v>
      </c>
      <c r="N17" s="287">
        <f t="shared" si="5"/>
        <v>0</v>
      </c>
      <c r="O17" s="287">
        <f t="shared" si="5"/>
        <v>0</v>
      </c>
      <c r="P17" s="287">
        <f t="shared" si="5"/>
        <v>0</v>
      </c>
      <c r="Q17" s="287">
        <f t="shared" si="5"/>
        <v>0</v>
      </c>
      <c r="R17" s="287">
        <f t="shared" si="5"/>
        <v>0</v>
      </c>
      <c r="S17" s="287">
        <f t="shared" si="5"/>
        <v>0</v>
      </c>
      <c r="T17" s="287">
        <f t="shared" si="5"/>
        <v>0</v>
      </c>
      <c r="U17" s="287">
        <f t="shared" si="5"/>
        <v>0</v>
      </c>
      <c r="V17" s="287">
        <f t="shared" si="5"/>
        <v>0</v>
      </c>
      <c r="W17" s="288">
        <f t="shared" si="5"/>
        <v>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B2:D2"/>
  </mergeCells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6FFFF"/>
    <pageSetUpPr/>
  </sheetPr>
  <sheetViews>
    <sheetView workbookViewId="0"/>
  </sheetViews>
  <sheetFormatPr customHeight="1" defaultColWidth="14.43" defaultRowHeight="15.0"/>
  <cols>
    <col customWidth="1" min="1" max="1" width="7.14"/>
    <col customWidth="1" min="2" max="2" width="19.14"/>
    <col customWidth="1" min="3" max="3" width="19.57"/>
    <col customWidth="1" min="4" max="4" width="9.14"/>
    <col customWidth="1" min="5" max="5" width="12.14"/>
    <col customWidth="1" min="6" max="6" width="9.14"/>
    <col customWidth="1" min="7" max="7" width="11.71"/>
    <col customWidth="1" min="8" max="20" width="9.14"/>
    <col customWidth="1" min="21" max="21" width="15.86"/>
    <col customWidth="1" min="22" max="22" width="6.29"/>
    <col customWidth="1" min="23" max="23" width="5.71"/>
    <col customWidth="1" min="24" max="24" width="6.14"/>
    <col customWidth="1" min="25" max="25" width="6.29"/>
    <col customWidth="1" min="26" max="26" width="5.29"/>
  </cols>
  <sheetData>
    <row r="2" ht="49.5" customHeight="1">
      <c r="B2" s="289" t="s">
        <v>336</v>
      </c>
    </row>
    <row r="3">
      <c r="B3" s="290"/>
    </row>
    <row r="4">
      <c r="B4" s="15" t="s">
        <v>14</v>
      </c>
      <c r="C4" s="16" t="s">
        <v>205</v>
      </c>
      <c r="D4" s="17" t="s">
        <v>16</v>
      </c>
      <c r="E4" s="17" t="s">
        <v>337</v>
      </c>
      <c r="F4" s="17" t="s">
        <v>17</v>
      </c>
      <c r="G4" s="17" t="s">
        <v>133</v>
      </c>
      <c r="H4" s="291">
        <v>1018.0</v>
      </c>
      <c r="I4" s="292">
        <v>3020.0</v>
      </c>
      <c r="J4" s="293">
        <v>5015.0</v>
      </c>
      <c r="K4" s="294">
        <v>9005.0</v>
      </c>
      <c r="L4" s="295">
        <v>2005.0</v>
      </c>
      <c r="M4" s="296">
        <v>6038.0</v>
      </c>
      <c r="N4" s="297">
        <v>3017.0</v>
      </c>
      <c r="O4" s="298">
        <v>4008.0</v>
      </c>
      <c r="P4" s="299">
        <v>4005.0</v>
      </c>
      <c r="Q4" s="300">
        <v>6001.0</v>
      </c>
      <c r="R4" s="301">
        <v>9003.0</v>
      </c>
      <c r="S4" s="237" t="s">
        <v>338</v>
      </c>
      <c r="T4" s="238" t="s">
        <v>21</v>
      </c>
      <c r="U4" s="239" t="s">
        <v>206</v>
      </c>
    </row>
    <row r="5">
      <c r="B5" s="240"/>
    </row>
    <row r="6" ht="45.75" customHeight="1">
      <c r="A6" s="302"/>
      <c r="B6" s="303" t="s">
        <v>339</v>
      </c>
      <c r="C6" s="304"/>
      <c r="D6" s="305">
        <v>8.0</v>
      </c>
      <c r="E6" s="306" t="s">
        <v>340</v>
      </c>
      <c r="F6" s="307"/>
      <c r="G6" s="308">
        <v>1115.0</v>
      </c>
      <c r="H6" s="309"/>
      <c r="I6" s="310"/>
      <c r="J6" s="311"/>
      <c r="K6" s="312"/>
      <c r="L6" s="313"/>
      <c r="M6" s="314"/>
      <c r="N6" s="315"/>
      <c r="O6" s="316"/>
      <c r="P6" s="317"/>
      <c r="Q6" s="318"/>
      <c r="R6" s="319"/>
      <c r="S6" s="320">
        <f>SUM(H6:R6)*D6</f>
        <v>0</v>
      </c>
      <c r="T6" s="319"/>
      <c r="U6" s="321">
        <f>SUM(H6:R6)*G6</f>
        <v>0</v>
      </c>
      <c r="V6" s="302"/>
      <c r="W6" s="302"/>
      <c r="X6" s="302"/>
      <c r="Y6" s="302"/>
      <c r="Z6" s="302"/>
    </row>
    <row r="7" ht="99.75" customHeight="1">
      <c r="A7" s="322">
        <f t="shared" ref="A7:A8" si="1">G7/3/D7</f>
        <v>53</v>
      </c>
      <c r="B7" s="323" t="s">
        <v>341</v>
      </c>
      <c r="C7" s="324"/>
      <c r="D7" s="325">
        <v>4.0</v>
      </c>
      <c r="E7" s="326" t="s">
        <v>342</v>
      </c>
      <c r="F7" s="327" t="s">
        <v>343</v>
      </c>
      <c r="G7" s="328">
        <v>636.0</v>
      </c>
      <c r="H7" s="329"/>
      <c r="I7" s="330"/>
      <c r="J7" s="331"/>
      <c r="K7" s="332"/>
      <c r="L7" s="333"/>
      <c r="M7" s="334"/>
      <c r="N7" s="335"/>
      <c r="O7" s="336"/>
      <c r="P7" s="337"/>
      <c r="Q7" s="338"/>
      <c r="R7" s="325"/>
      <c r="S7" s="325">
        <f t="shared" ref="S7:S8" si="2">SUM(H7:R7)</f>
        <v>0</v>
      </c>
      <c r="T7" s="325"/>
      <c r="U7" s="339">
        <f t="shared" ref="U7:U8" si="3">S7*G7</f>
        <v>0</v>
      </c>
    </row>
    <row r="8" ht="99.75" customHeight="1">
      <c r="A8" s="322">
        <f t="shared" si="1"/>
        <v>50.25</v>
      </c>
      <c r="B8" s="340" t="s">
        <v>344</v>
      </c>
      <c r="C8" s="341"/>
      <c r="D8" s="342">
        <v>4.0</v>
      </c>
      <c r="E8" s="343" t="s">
        <v>345</v>
      </c>
      <c r="F8" s="344" t="s">
        <v>346</v>
      </c>
      <c r="G8" s="345">
        <v>603.0</v>
      </c>
      <c r="H8" s="346"/>
      <c r="I8" s="347"/>
      <c r="J8" s="348"/>
      <c r="K8" s="349"/>
      <c r="L8" s="350"/>
      <c r="M8" s="351"/>
      <c r="N8" s="352"/>
      <c r="O8" s="353"/>
      <c r="P8" s="354"/>
      <c r="Q8" s="355"/>
      <c r="R8" s="342"/>
      <c r="S8" s="342">
        <f t="shared" si="2"/>
        <v>0</v>
      </c>
      <c r="T8" s="342"/>
      <c r="U8" s="356">
        <f t="shared" si="3"/>
        <v>0</v>
      </c>
    </row>
    <row r="9" ht="29.25" customHeight="1">
      <c r="G9" s="357"/>
      <c r="U9" s="357"/>
    </row>
    <row r="10" ht="52.5" customHeight="1">
      <c r="A10" s="322">
        <f t="shared" ref="A10:A23" si="4">G10/3/D10</f>
        <v>70.12820513</v>
      </c>
      <c r="B10" s="358" t="s">
        <v>347</v>
      </c>
      <c r="C10" s="304"/>
      <c r="D10" s="359">
        <f>SUM(D11:D23)</f>
        <v>13</v>
      </c>
      <c r="E10" s="360" t="s">
        <v>340</v>
      </c>
      <c r="F10" s="307"/>
      <c r="G10" s="308">
        <v>2735.0</v>
      </c>
      <c r="H10" s="361"/>
      <c r="I10" s="362"/>
      <c r="J10" s="363"/>
      <c r="K10" s="364"/>
      <c r="L10" s="365"/>
      <c r="M10" s="366"/>
      <c r="N10" s="367"/>
      <c r="O10" s="368"/>
      <c r="P10" s="369"/>
      <c r="Q10" s="370"/>
      <c r="R10" s="320"/>
      <c r="S10" s="320">
        <f>SUM(H10:R10)*D10</f>
        <v>0</v>
      </c>
      <c r="T10" s="320"/>
      <c r="U10" s="321">
        <f>SUM(H10:R10)*G10</f>
        <v>0</v>
      </c>
      <c r="V10" s="302"/>
      <c r="W10" s="302"/>
      <c r="X10" s="302"/>
      <c r="Y10" s="302"/>
      <c r="Z10" s="302"/>
    </row>
    <row r="11" ht="99.75" customHeight="1">
      <c r="A11" s="322">
        <f t="shared" si="4"/>
        <v>56.66666667</v>
      </c>
      <c r="B11" s="371" t="s">
        <v>348</v>
      </c>
      <c r="C11" s="324"/>
      <c r="D11" s="325">
        <v>1.0</v>
      </c>
      <c r="E11" s="325" t="s">
        <v>349</v>
      </c>
      <c r="F11" s="372" t="s">
        <v>350</v>
      </c>
      <c r="G11" s="328">
        <v>170.0</v>
      </c>
      <c r="H11" s="329"/>
      <c r="I11" s="330"/>
      <c r="J11" s="331"/>
      <c r="K11" s="332"/>
      <c r="L11" s="333"/>
      <c r="M11" s="334"/>
      <c r="N11" s="335"/>
      <c r="O11" s="336"/>
      <c r="P11" s="337"/>
      <c r="Q11" s="338"/>
      <c r="R11" s="325"/>
      <c r="S11" s="325">
        <f t="shared" ref="S11:S23" si="5">SUM(H11:R11)</f>
        <v>0</v>
      </c>
      <c r="T11" s="325"/>
      <c r="U11" s="339">
        <f t="shared" ref="U11:U23" si="6">S11*G11</f>
        <v>0</v>
      </c>
    </row>
    <row r="12" ht="99.75" customHeight="1">
      <c r="A12" s="322">
        <f t="shared" si="4"/>
        <v>58</v>
      </c>
      <c r="B12" s="371" t="s">
        <v>351</v>
      </c>
      <c r="C12" s="287"/>
      <c r="D12" s="342">
        <v>1.0</v>
      </c>
      <c r="E12" s="342" t="s">
        <v>352</v>
      </c>
      <c r="F12" s="250" t="s">
        <v>353</v>
      </c>
      <c r="G12" s="345">
        <v>174.0</v>
      </c>
      <c r="H12" s="346"/>
      <c r="I12" s="347"/>
      <c r="J12" s="348"/>
      <c r="K12" s="349"/>
      <c r="L12" s="350"/>
      <c r="M12" s="351"/>
      <c r="N12" s="352"/>
      <c r="O12" s="353"/>
      <c r="P12" s="354"/>
      <c r="Q12" s="355"/>
      <c r="R12" s="342"/>
      <c r="S12" s="342">
        <f t="shared" si="5"/>
        <v>0</v>
      </c>
      <c r="T12" s="342"/>
      <c r="U12" s="356">
        <f t="shared" si="6"/>
        <v>0</v>
      </c>
    </row>
    <row r="13" ht="99.75" customHeight="1">
      <c r="A13" s="322">
        <f t="shared" si="4"/>
        <v>95.66666667</v>
      </c>
      <c r="B13" s="371" t="s">
        <v>354</v>
      </c>
      <c r="C13" s="287"/>
      <c r="D13" s="342">
        <v>1.0</v>
      </c>
      <c r="E13" s="342" t="s">
        <v>355</v>
      </c>
      <c r="F13" s="250" t="s">
        <v>356</v>
      </c>
      <c r="G13" s="345">
        <v>287.0</v>
      </c>
      <c r="H13" s="346"/>
      <c r="I13" s="347"/>
      <c r="J13" s="348"/>
      <c r="K13" s="349"/>
      <c r="L13" s="350"/>
      <c r="M13" s="351"/>
      <c r="N13" s="352"/>
      <c r="O13" s="353"/>
      <c r="P13" s="354"/>
      <c r="Q13" s="355"/>
      <c r="R13" s="342"/>
      <c r="S13" s="342">
        <f t="shared" si="5"/>
        <v>0</v>
      </c>
      <c r="T13" s="342"/>
      <c r="U13" s="356">
        <f t="shared" si="6"/>
        <v>0</v>
      </c>
    </row>
    <row r="14" ht="99.75" customHeight="1">
      <c r="A14" s="322">
        <f t="shared" si="4"/>
        <v>78.66666667</v>
      </c>
      <c r="B14" s="371" t="s">
        <v>357</v>
      </c>
      <c r="C14" s="287"/>
      <c r="D14" s="342">
        <v>1.0</v>
      </c>
      <c r="E14" s="342" t="s">
        <v>358</v>
      </c>
      <c r="F14" s="250" t="s">
        <v>359</v>
      </c>
      <c r="G14" s="345">
        <v>236.0</v>
      </c>
      <c r="H14" s="346"/>
      <c r="I14" s="347"/>
      <c r="J14" s="348"/>
      <c r="K14" s="349"/>
      <c r="L14" s="350"/>
      <c r="M14" s="351"/>
      <c r="N14" s="352"/>
      <c r="O14" s="353"/>
      <c r="P14" s="354"/>
      <c r="Q14" s="355"/>
      <c r="R14" s="342"/>
      <c r="S14" s="342">
        <f t="shared" si="5"/>
        <v>0</v>
      </c>
      <c r="T14" s="342"/>
      <c r="U14" s="356">
        <f t="shared" si="6"/>
        <v>0</v>
      </c>
    </row>
    <row r="15" ht="99.75" customHeight="1">
      <c r="A15" s="322">
        <f t="shared" si="4"/>
        <v>95.33333333</v>
      </c>
      <c r="B15" s="371" t="s">
        <v>360</v>
      </c>
      <c r="C15" s="287"/>
      <c r="D15" s="342">
        <v>1.0</v>
      </c>
      <c r="E15" s="342" t="s">
        <v>361</v>
      </c>
      <c r="F15" s="250" t="s">
        <v>362</v>
      </c>
      <c r="G15" s="345">
        <v>286.0</v>
      </c>
      <c r="H15" s="346"/>
      <c r="I15" s="347"/>
      <c r="J15" s="348"/>
      <c r="K15" s="349"/>
      <c r="L15" s="350"/>
      <c r="M15" s="351"/>
      <c r="N15" s="352"/>
      <c r="O15" s="353"/>
      <c r="P15" s="354"/>
      <c r="Q15" s="355"/>
      <c r="R15" s="342"/>
      <c r="S15" s="342">
        <f t="shared" si="5"/>
        <v>0</v>
      </c>
      <c r="T15" s="342"/>
      <c r="U15" s="356">
        <f t="shared" si="6"/>
        <v>0</v>
      </c>
    </row>
    <row r="16" ht="99.75" customHeight="1">
      <c r="A16" s="322">
        <f t="shared" si="4"/>
        <v>92</v>
      </c>
      <c r="B16" s="371" t="s">
        <v>363</v>
      </c>
      <c r="C16" s="341"/>
      <c r="D16" s="342">
        <v>1.0</v>
      </c>
      <c r="E16" s="342" t="s">
        <v>364</v>
      </c>
      <c r="F16" s="250" t="s">
        <v>365</v>
      </c>
      <c r="G16" s="345">
        <v>276.0</v>
      </c>
      <c r="H16" s="346"/>
      <c r="I16" s="347"/>
      <c r="J16" s="348"/>
      <c r="K16" s="349"/>
      <c r="L16" s="350"/>
      <c r="M16" s="351"/>
      <c r="N16" s="352"/>
      <c r="O16" s="353"/>
      <c r="P16" s="354"/>
      <c r="Q16" s="355"/>
      <c r="R16" s="342"/>
      <c r="S16" s="342">
        <f t="shared" si="5"/>
        <v>0</v>
      </c>
      <c r="T16" s="342"/>
      <c r="U16" s="356">
        <f t="shared" si="6"/>
        <v>0</v>
      </c>
    </row>
    <row r="17" ht="99.75" customHeight="1">
      <c r="A17" s="322">
        <f t="shared" si="4"/>
        <v>83.13</v>
      </c>
      <c r="B17" s="371" t="s">
        <v>366</v>
      </c>
      <c r="C17" s="341"/>
      <c r="D17" s="342">
        <v>1.0</v>
      </c>
      <c r="E17" s="342" t="s">
        <v>367</v>
      </c>
      <c r="F17" s="250" t="s">
        <v>368</v>
      </c>
      <c r="G17" s="345">
        <v>249.39</v>
      </c>
      <c r="H17" s="346"/>
      <c r="I17" s="347"/>
      <c r="J17" s="348"/>
      <c r="K17" s="349"/>
      <c r="L17" s="350"/>
      <c r="M17" s="351"/>
      <c r="N17" s="352"/>
      <c r="O17" s="353"/>
      <c r="P17" s="354"/>
      <c r="Q17" s="355"/>
      <c r="R17" s="342"/>
      <c r="S17" s="342">
        <f t="shared" si="5"/>
        <v>0</v>
      </c>
      <c r="T17" s="342"/>
      <c r="U17" s="356">
        <f t="shared" si="6"/>
        <v>0</v>
      </c>
    </row>
    <row r="18" ht="99.75" customHeight="1">
      <c r="A18" s="322">
        <f t="shared" si="4"/>
        <v>59.66666667</v>
      </c>
      <c r="B18" s="371" t="s">
        <v>369</v>
      </c>
      <c r="C18" s="287"/>
      <c r="D18" s="342">
        <v>1.0</v>
      </c>
      <c r="E18" s="342" t="s">
        <v>370</v>
      </c>
      <c r="F18" s="250" t="s">
        <v>371</v>
      </c>
      <c r="G18" s="345">
        <v>179.0</v>
      </c>
      <c r="H18" s="346"/>
      <c r="I18" s="347"/>
      <c r="J18" s="348"/>
      <c r="K18" s="349"/>
      <c r="L18" s="350"/>
      <c r="M18" s="351"/>
      <c r="N18" s="352"/>
      <c r="O18" s="353"/>
      <c r="P18" s="354"/>
      <c r="Q18" s="355"/>
      <c r="R18" s="342"/>
      <c r="S18" s="342">
        <f t="shared" si="5"/>
        <v>0</v>
      </c>
      <c r="T18" s="342"/>
      <c r="U18" s="356">
        <f t="shared" si="6"/>
        <v>0</v>
      </c>
    </row>
    <row r="19" ht="99.75" customHeight="1">
      <c r="A19" s="322">
        <f t="shared" si="4"/>
        <v>58</v>
      </c>
      <c r="B19" s="371" t="s">
        <v>372</v>
      </c>
      <c r="C19" s="287"/>
      <c r="D19" s="342">
        <v>1.0</v>
      </c>
      <c r="E19" s="342" t="s">
        <v>373</v>
      </c>
      <c r="F19" s="250" t="s">
        <v>374</v>
      </c>
      <c r="G19" s="345">
        <v>174.0</v>
      </c>
      <c r="H19" s="346"/>
      <c r="I19" s="347"/>
      <c r="J19" s="348"/>
      <c r="K19" s="349"/>
      <c r="L19" s="350"/>
      <c r="M19" s="351"/>
      <c r="N19" s="352"/>
      <c r="O19" s="353"/>
      <c r="P19" s="354"/>
      <c r="Q19" s="355"/>
      <c r="R19" s="342"/>
      <c r="S19" s="342">
        <f t="shared" si="5"/>
        <v>0</v>
      </c>
      <c r="T19" s="342"/>
      <c r="U19" s="356">
        <f t="shared" si="6"/>
        <v>0</v>
      </c>
    </row>
    <row r="20" ht="99.75" customHeight="1">
      <c r="A20" s="322">
        <f t="shared" si="4"/>
        <v>95.33333333</v>
      </c>
      <c r="B20" s="371" t="s">
        <v>375</v>
      </c>
      <c r="C20" s="287"/>
      <c r="D20" s="342">
        <v>1.0</v>
      </c>
      <c r="E20" s="342" t="s">
        <v>376</v>
      </c>
      <c r="F20" s="250" t="s">
        <v>377</v>
      </c>
      <c r="G20" s="345">
        <v>286.0</v>
      </c>
      <c r="H20" s="346"/>
      <c r="I20" s="347"/>
      <c r="J20" s="348"/>
      <c r="K20" s="349"/>
      <c r="L20" s="350"/>
      <c r="M20" s="351"/>
      <c r="N20" s="352"/>
      <c r="O20" s="353"/>
      <c r="P20" s="354"/>
      <c r="Q20" s="355"/>
      <c r="R20" s="373"/>
      <c r="S20" s="342">
        <f t="shared" si="5"/>
        <v>0</v>
      </c>
      <c r="T20" s="342"/>
      <c r="U20" s="356">
        <f t="shared" si="6"/>
        <v>0</v>
      </c>
    </row>
    <row r="21" ht="99.75" customHeight="1">
      <c r="A21" s="322">
        <f t="shared" si="4"/>
        <v>56.33333333</v>
      </c>
      <c r="B21" s="371" t="s">
        <v>378</v>
      </c>
      <c r="C21" s="287"/>
      <c r="D21" s="342">
        <v>1.0</v>
      </c>
      <c r="E21" s="342" t="s">
        <v>379</v>
      </c>
      <c r="F21" s="250" t="s">
        <v>380</v>
      </c>
      <c r="G21" s="345">
        <v>169.0</v>
      </c>
      <c r="H21" s="346"/>
      <c r="I21" s="347"/>
      <c r="J21" s="348"/>
      <c r="K21" s="349"/>
      <c r="L21" s="350"/>
      <c r="M21" s="351"/>
      <c r="N21" s="352"/>
      <c r="O21" s="353"/>
      <c r="P21" s="354"/>
      <c r="Q21" s="355"/>
      <c r="R21" s="342"/>
      <c r="S21" s="342">
        <f t="shared" si="5"/>
        <v>0</v>
      </c>
      <c r="T21" s="342"/>
      <c r="U21" s="356">
        <f t="shared" si="6"/>
        <v>0</v>
      </c>
    </row>
    <row r="22" ht="99.75" customHeight="1">
      <c r="A22" s="322">
        <f t="shared" si="4"/>
        <v>92</v>
      </c>
      <c r="B22" s="371" t="s">
        <v>381</v>
      </c>
      <c r="C22" s="341"/>
      <c r="D22" s="342">
        <v>1.0</v>
      </c>
      <c r="E22" s="342" t="s">
        <v>382</v>
      </c>
      <c r="F22" s="250" t="s">
        <v>383</v>
      </c>
      <c r="G22" s="345">
        <v>276.0</v>
      </c>
      <c r="H22" s="346"/>
      <c r="I22" s="347"/>
      <c r="J22" s="348"/>
      <c r="K22" s="349"/>
      <c r="L22" s="350"/>
      <c r="M22" s="351"/>
      <c r="N22" s="352"/>
      <c r="O22" s="353"/>
      <c r="P22" s="354"/>
      <c r="Q22" s="355"/>
      <c r="R22" s="342"/>
      <c r="S22" s="342">
        <f t="shared" si="5"/>
        <v>0</v>
      </c>
      <c r="T22" s="342"/>
      <c r="U22" s="356">
        <f t="shared" si="6"/>
        <v>0</v>
      </c>
    </row>
    <row r="23" ht="99.75" customHeight="1">
      <c r="A23" s="322">
        <f t="shared" si="4"/>
        <v>92</v>
      </c>
      <c r="B23" s="371" t="s">
        <v>384</v>
      </c>
      <c r="C23" s="341"/>
      <c r="D23" s="342">
        <v>1.0</v>
      </c>
      <c r="E23" s="342" t="s">
        <v>382</v>
      </c>
      <c r="F23" s="250" t="s">
        <v>385</v>
      </c>
      <c r="G23" s="345">
        <v>276.0</v>
      </c>
      <c r="H23" s="346"/>
      <c r="I23" s="347"/>
      <c r="J23" s="348"/>
      <c r="K23" s="349"/>
      <c r="L23" s="350"/>
      <c r="M23" s="351"/>
      <c r="N23" s="352"/>
      <c r="O23" s="353"/>
      <c r="P23" s="354"/>
      <c r="Q23" s="355"/>
      <c r="R23" s="342"/>
      <c r="S23" s="342">
        <f t="shared" si="5"/>
        <v>0</v>
      </c>
      <c r="T23" s="342"/>
      <c r="U23" s="356">
        <f t="shared" si="6"/>
        <v>0</v>
      </c>
    </row>
    <row r="24" ht="28.5" customHeight="1">
      <c r="G24" s="357"/>
      <c r="U24" s="357"/>
    </row>
    <row r="25" ht="58.5" customHeight="1">
      <c r="A25" s="322">
        <f t="shared" ref="A25:A32" si="7">G25/3/D25</f>
        <v>76.19047619</v>
      </c>
      <c r="B25" s="374" t="s">
        <v>386</v>
      </c>
      <c r="C25" s="304"/>
      <c r="D25" s="359">
        <f>SUM(D26:D32)</f>
        <v>7</v>
      </c>
      <c r="E25" s="360" t="s">
        <v>387</v>
      </c>
      <c r="F25" s="307"/>
      <c r="G25" s="308">
        <v>1600.0</v>
      </c>
      <c r="H25" s="361"/>
      <c r="I25" s="362"/>
      <c r="J25" s="363"/>
      <c r="K25" s="364"/>
      <c r="L25" s="365"/>
      <c r="M25" s="366"/>
      <c r="N25" s="367"/>
      <c r="O25" s="368"/>
      <c r="P25" s="369"/>
      <c r="Q25" s="370"/>
      <c r="R25" s="320"/>
      <c r="S25" s="320">
        <f>SUM(H25:R25)*D25</f>
        <v>0</v>
      </c>
      <c r="T25" s="375"/>
      <c r="U25" s="321">
        <f>SUM(H25:R25)*G25</f>
        <v>0</v>
      </c>
    </row>
    <row r="26" ht="99.75" customHeight="1">
      <c r="A26" s="322">
        <f t="shared" si="7"/>
        <v>64.66666667</v>
      </c>
      <c r="B26" s="376" t="s">
        <v>388</v>
      </c>
      <c r="C26" s="377"/>
      <c r="D26" s="325">
        <v>1.0</v>
      </c>
      <c r="E26" s="325" t="s">
        <v>389</v>
      </c>
      <c r="F26" s="372" t="s">
        <v>390</v>
      </c>
      <c r="G26" s="328">
        <v>194.0</v>
      </c>
      <c r="H26" s="329"/>
      <c r="I26" s="330"/>
      <c r="J26" s="331"/>
      <c r="K26" s="332"/>
      <c r="L26" s="333"/>
      <c r="M26" s="334"/>
      <c r="N26" s="335"/>
      <c r="O26" s="336"/>
      <c r="P26" s="337"/>
      <c r="Q26" s="338"/>
      <c r="R26" s="325"/>
      <c r="S26" s="325">
        <f t="shared" ref="S26:S32" si="8">SUM(H26:R26)</f>
        <v>0</v>
      </c>
      <c r="T26" s="325"/>
      <c r="U26" s="339">
        <f t="shared" ref="U26:U32" si="9">S26*G26</f>
        <v>0</v>
      </c>
    </row>
    <row r="27" ht="99.75" customHeight="1">
      <c r="A27" s="322">
        <f t="shared" si="7"/>
        <v>65</v>
      </c>
      <c r="B27" s="376" t="s">
        <v>391</v>
      </c>
      <c r="C27" s="341"/>
      <c r="D27" s="342">
        <v>1.0</v>
      </c>
      <c r="E27" s="342" t="s">
        <v>392</v>
      </c>
      <c r="F27" s="250" t="s">
        <v>393</v>
      </c>
      <c r="G27" s="345">
        <v>195.0</v>
      </c>
      <c r="H27" s="346"/>
      <c r="I27" s="347"/>
      <c r="J27" s="348"/>
      <c r="K27" s="349"/>
      <c r="L27" s="350"/>
      <c r="M27" s="351"/>
      <c r="N27" s="352"/>
      <c r="O27" s="353"/>
      <c r="P27" s="354"/>
      <c r="Q27" s="355"/>
      <c r="R27" s="342"/>
      <c r="S27" s="342">
        <f t="shared" si="8"/>
        <v>0</v>
      </c>
      <c r="T27" s="342"/>
      <c r="U27" s="356">
        <f t="shared" si="9"/>
        <v>0</v>
      </c>
    </row>
    <row r="28" ht="99.75" customHeight="1">
      <c r="A28" s="322">
        <f t="shared" si="7"/>
        <v>92.66666667</v>
      </c>
      <c r="B28" s="376" t="s">
        <v>394</v>
      </c>
      <c r="C28" s="341"/>
      <c r="D28" s="342">
        <v>1.0</v>
      </c>
      <c r="E28" s="342" t="s">
        <v>395</v>
      </c>
      <c r="F28" s="250" t="s">
        <v>396</v>
      </c>
      <c r="G28" s="345">
        <v>278.0</v>
      </c>
      <c r="H28" s="346"/>
      <c r="I28" s="347"/>
      <c r="J28" s="348"/>
      <c r="K28" s="349"/>
      <c r="L28" s="350"/>
      <c r="M28" s="351"/>
      <c r="N28" s="352"/>
      <c r="O28" s="353"/>
      <c r="P28" s="354"/>
      <c r="Q28" s="355"/>
      <c r="R28" s="342"/>
      <c r="S28" s="342">
        <f t="shared" si="8"/>
        <v>0</v>
      </c>
      <c r="T28" s="342"/>
      <c r="U28" s="356">
        <f t="shared" si="9"/>
        <v>0</v>
      </c>
    </row>
    <row r="29" ht="99.0" customHeight="1">
      <c r="A29" s="322">
        <f t="shared" si="7"/>
        <v>93</v>
      </c>
      <c r="B29" s="376" t="s">
        <v>397</v>
      </c>
      <c r="C29" s="341"/>
      <c r="D29" s="342">
        <v>1.0</v>
      </c>
      <c r="E29" s="342" t="s">
        <v>398</v>
      </c>
      <c r="F29" s="250" t="s">
        <v>399</v>
      </c>
      <c r="G29" s="345">
        <v>279.0</v>
      </c>
      <c r="H29" s="346"/>
      <c r="I29" s="347"/>
      <c r="J29" s="348"/>
      <c r="K29" s="349"/>
      <c r="L29" s="350"/>
      <c r="M29" s="351"/>
      <c r="N29" s="352"/>
      <c r="O29" s="353"/>
      <c r="P29" s="354"/>
      <c r="Q29" s="355"/>
      <c r="R29" s="342"/>
      <c r="S29" s="342">
        <f t="shared" si="8"/>
        <v>0</v>
      </c>
      <c r="T29" s="342"/>
      <c r="U29" s="356">
        <f t="shared" si="9"/>
        <v>0</v>
      </c>
    </row>
    <row r="30" ht="99.75" customHeight="1">
      <c r="A30" s="322">
        <f t="shared" si="7"/>
        <v>92</v>
      </c>
      <c r="B30" s="376" t="s">
        <v>400</v>
      </c>
      <c r="C30" s="341"/>
      <c r="D30" s="342">
        <v>1.0</v>
      </c>
      <c r="E30" s="342" t="s">
        <v>401</v>
      </c>
      <c r="F30" s="250" t="s">
        <v>402</v>
      </c>
      <c r="G30" s="345">
        <v>276.0</v>
      </c>
      <c r="H30" s="346"/>
      <c r="I30" s="347"/>
      <c r="J30" s="348"/>
      <c r="K30" s="349"/>
      <c r="L30" s="350"/>
      <c r="M30" s="351"/>
      <c r="N30" s="352"/>
      <c r="O30" s="353"/>
      <c r="P30" s="354"/>
      <c r="Q30" s="355"/>
      <c r="R30" s="342"/>
      <c r="S30" s="342">
        <f t="shared" si="8"/>
        <v>0</v>
      </c>
      <c r="T30" s="342"/>
      <c r="U30" s="356">
        <f t="shared" si="9"/>
        <v>0</v>
      </c>
    </row>
    <row r="31" ht="99.75" customHeight="1">
      <c r="A31" s="322">
        <f t="shared" si="7"/>
        <v>92</v>
      </c>
      <c r="B31" s="376" t="s">
        <v>403</v>
      </c>
      <c r="C31" s="341"/>
      <c r="D31" s="342">
        <v>1.0</v>
      </c>
      <c r="E31" s="342" t="s">
        <v>404</v>
      </c>
      <c r="F31" s="250" t="s">
        <v>405</v>
      </c>
      <c r="G31" s="345">
        <v>276.0</v>
      </c>
      <c r="H31" s="346"/>
      <c r="I31" s="347"/>
      <c r="J31" s="348"/>
      <c r="K31" s="349"/>
      <c r="L31" s="350"/>
      <c r="M31" s="351"/>
      <c r="N31" s="352"/>
      <c r="O31" s="353"/>
      <c r="P31" s="354"/>
      <c r="Q31" s="355"/>
      <c r="R31" s="342"/>
      <c r="S31" s="342">
        <f t="shared" si="8"/>
        <v>0</v>
      </c>
      <c r="T31" s="342"/>
      <c r="U31" s="356">
        <f t="shared" si="9"/>
        <v>0</v>
      </c>
    </row>
    <row r="32" ht="99.75" customHeight="1">
      <c r="A32" s="322">
        <f t="shared" si="7"/>
        <v>62</v>
      </c>
      <c r="B32" s="376" t="s">
        <v>406</v>
      </c>
      <c r="C32" s="341"/>
      <c r="D32" s="342">
        <v>1.0</v>
      </c>
      <c r="E32" s="342" t="s">
        <v>407</v>
      </c>
      <c r="F32" s="250" t="s">
        <v>408</v>
      </c>
      <c r="G32" s="345">
        <v>186.0</v>
      </c>
      <c r="H32" s="346"/>
      <c r="I32" s="347"/>
      <c r="J32" s="348"/>
      <c r="K32" s="349"/>
      <c r="L32" s="350"/>
      <c r="M32" s="351"/>
      <c r="N32" s="352"/>
      <c r="O32" s="353"/>
      <c r="P32" s="354"/>
      <c r="Q32" s="355"/>
      <c r="R32" s="342"/>
      <c r="S32" s="342">
        <f t="shared" si="8"/>
        <v>0</v>
      </c>
      <c r="T32" s="342"/>
      <c r="U32" s="356">
        <f t="shared" si="9"/>
        <v>0</v>
      </c>
    </row>
    <row r="33" ht="36.0" customHeight="1">
      <c r="G33" s="357"/>
      <c r="U33" s="357"/>
    </row>
    <row r="34" ht="54.75" customHeight="1">
      <c r="A34" s="322">
        <f t="shared" ref="A34:A43" si="10">G34/3/D34</f>
        <v>44.49275362</v>
      </c>
      <c r="B34" s="378" t="s">
        <v>409</v>
      </c>
      <c r="C34" s="304"/>
      <c r="D34" s="375">
        <f>SUM(D35:D43)</f>
        <v>23</v>
      </c>
      <c r="E34" s="360" t="s">
        <v>410</v>
      </c>
      <c r="F34" s="307"/>
      <c r="G34" s="308">
        <v>3070.0</v>
      </c>
      <c r="H34" s="379"/>
      <c r="I34" s="380"/>
      <c r="J34" s="381"/>
      <c r="K34" s="382"/>
      <c r="L34" s="383"/>
      <c r="M34" s="384"/>
      <c r="N34" s="385"/>
      <c r="O34" s="386"/>
      <c r="P34" s="387"/>
      <c r="Q34" s="388"/>
      <c r="R34" s="375"/>
      <c r="S34" s="320">
        <f>SUM(H34:R34)*D34</f>
        <v>0</v>
      </c>
      <c r="T34" s="375"/>
      <c r="U34" s="321">
        <f>SUM(H34:R34)*G34</f>
        <v>0</v>
      </c>
    </row>
    <row r="35" ht="99.75" customHeight="1">
      <c r="A35" s="322">
        <f t="shared" si="10"/>
        <v>58.66666667</v>
      </c>
      <c r="B35" s="389" t="s">
        <v>411</v>
      </c>
      <c r="C35" s="377"/>
      <c r="D35" s="325">
        <v>2.0</v>
      </c>
      <c r="E35" s="326" t="s">
        <v>412</v>
      </c>
      <c r="F35" s="327" t="s">
        <v>413</v>
      </c>
      <c r="G35" s="328">
        <v>352.0</v>
      </c>
      <c r="H35" s="329"/>
      <c r="I35" s="330"/>
      <c r="J35" s="331"/>
      <c r="K35" s="332"/>
      <c r="L35" s="333"/>
      <c r="M35" s="334"/>
      <c r="N35" s="335"/>
      <c r="O35" s="336"/>
      <c r="P35" s="337"/>
      <c r="Q35" s="338"/>
      <c r="R35" s="325"/>
      <c r="S35" s="325">
        <f t="shared" ref="S35:S43" si="11">SUM(H35:R35)</f>
        <v>0</v>
      </c>
      <c r="T35" s="325"/>
      <c r="U35" s="339">
        <f t="shared" ref="U35:U43" si="12">S35*G35</f>
        <v>0</v>
      </c>
    </row>
    <row r="36" ht="99.75" customHeight="1">
      <c r="A36" s="322">
        <f t="shared" si="10"/>
        <v>58.16666667</v>
      </c>
      <c r="B36" s="389" t="s">
        <v>414</v>
      </c>
      <c r="C36" s="341"/>
      <c r="D36" s="342">
        <v>2.0</v>
      </c>
      <c r="E36" s="343" t="s">
        <v>415</v>
      </c>
      <c r="F36" s="344" t="s">
        <v>416</v>
      </c>
      <c r="G36" s="345">
        <v>349.0</v>
      </c>
      <c r="H36" s="346"/>
      <c r="I36" s="347"/>
      <c r="J36" s="348"/>
      <c r="K36" s="349"/>
      <c r="L36" s="350"/>
      <c r="M36" s="351"/>
      <c r="N36" s="352"/>
      <c r="O36" s="353"/>
      <c r="P36" s="354"/>
      <c r="Q36" s="355"/>
      <c r="R36" s="342"/>
      <c r="S36" s="342">
        <f t="shared" si="11"/>
        <v>0</v>
      </c>
      <c r="T36" s="342"/>
      <c r="U36" s="356">
        <f t="shared" si="12"/>
        <v>0</v>
      </c>
    </row>
    <row r="37" ht="99.75" customHeight="1">
      <c r="A37" s="322">
        <f t="shared" si="10"/>
        <v>46.5</v>
      </c>
      <c r="B37" s="389" t="s">
        <v>417</v>
      </c>
      <c r="C37" s="341"/>
      <c r="D37" s="342">
        <v>2.0</v>
      </c>
      <c r="E37" s="343" t="s">
        <v>418</v>
      </c>
      <c r="F37" s="344" t="s">
        <v>419</v>
      </c>
      <c r="G37" s="345">
        <v>279.0</v>
      </c>
      <c r="H37" s="346"/>
      <c r="I37" s="347"/>
      <c r="J37" s="348"/>
      <c r="K37" s="349"/>
      <c r="L37" s="350"/>
      <c r="M37" s="351"/>
      <c r="N37" s="352"/>
      <c r="O37" s="353"/>
      <c r="P37" s="354"/>
      <c r="Q37" s="355"/>
      <c r="R37" s="342"/>
      <c r="S37" s="342">
        <f t="shared" si="11"/>
        <v>0</v>
      </c>
      <c r="T37" s="342"/>
      <c r="U37" s="356">
        <f t="shared" si="12"/>
        <v>0</v>
      </c>
    </row>
    <row r="38" ht="99.75" customHeight="1">
      <c r="A38" s="322">
        <f t="shared" si="10"/>
        <v>55.33333333</v>
      </c>
      <c r="B38" s="389" t="s">
        <v>420</v>
      </c>
      <c r="C38" s="341"/>
      <c r="D38" s="342">
        <v>2.0</v>
      </c>
      <c r="E38" s="343" t="s">
        <v>415</v>
      </c>
      <c r="F38" s="344" t="s">
        <v>421</v>
      </c>
      <c r="G38" s="345">
        <v>332.0</v>
      </c>
      <c r="H38" s="346"/>
      <c r="I38" s="347"/>
      <c r="J38" s="348"/>
      <c r="K38" s="349"/>
      <c r="L38" s="350"/>
      <c r="M38" s="351"/>
      <c r="N38" s="352"/>
      <c r="O38" s="353"/>
      <c r="P38" s="354"/>
      <c r="Q38" s="355"/>
      <c r="R38" s="342"/>
      <c r="S38" s="342">
        <f t="shared" si="11"/>
        <v>0</v>
      </c>
      <c r="T38" s="342"/>
      <c r="U38" s="356">
        <f t="shared" si="12"/>
        <v>0</v>
      </c>
    </row>
    <row r="39" ht="99.75" customHeight="1">
      <c r="A39" s="322">
        <f t="shared" si="10"/>
        <v>46.5</v>
      </c>
      <c r="B39" s="389" t="s">
        <v>422</v>
      </c>
      <c r="C39" s="341"/>
      <c r="D39" s="342">
        <v>2.0</v>
      </c>
      <c r="E39" s="343" t="s">
        <v>423</v>
      </c>
      <c r="F39" s="344" t="s">
        <v>424</v>
      </c>
      <c r="G39" s="345">
        <v>279.0</v>
      </c>
      <c r="H39" s="346"/>
      <c r="I39" s="347"/>
      <c r="J39" s="348"/>
      <c r="K39" s="349"/>
      <c r="L39" s="350"/>
      <c r="M39" s="351"/>
      <c r="N39" s="352"/>
      <c r="O39" s="353"/>
      <c r="P39" s="354"/>
      <c r="Q39" s="355"/>
      <c r="R39" s="342"/>
      <c r="S39" s="342">
        <f t="shared" si="11"/>
        <v>0</v>
      </c>
      <c r="T39" s="342"/>
      <c r="U39" s="356">
        <f t="shared" si="12"/>
        <v>0</v>
      </c>
    </row>
    <row r="40" ht="99.75" customHeight="1">
      <c r="A40" s="322">
        <f t="shared" si="10"/>
        <v>55</v>
      </c>
      <c r="B40" s="389" t="s">
        <v>425</v>
      </c>
      <c r="C40" s="341"/>
      <c r="D40" s="342">
        <v>2.0</v>
      </c>
      <c r="E40" s="343" t="s">
        <v>426</v>
      </c>
      <c r="F40" s="344" t="s">
        <v>427</v>
      </c>
      <c r="G40" s="345">
        <v>330.0</v>
      </c>
      <c r="H40" s="346"/>
      <c r="I40" s="347"/>
      <c r="J40" s="348"/>
      <c r="K40" s="349"/>
      <c r="L40" s="350"/>
      <c r="M40" s="351"/>
      <c r="N40" s="352"/>
      <c r="O40" s="353"/>
      <c r="P40" s="354"/>
      <c r="Q40" s="355"/>
      <c r="R40" s="342"/>
      <c r="S40" s="342">
        <f t="shared" si="11"/>
        <v>0</v>
      </c>
      <c r="T40" s="342"/>
      <c r="U40" s="356">
        <f t="shared" si="12"/>
        <v>0</v>
      </c>
    </row>
    <row r="41" ht="99.75" customHeight="1">
      <c r="A41" s="322">
        <f t="shared" si="10"/>
        <v>40.83333333</v>
      </c>
      <c r="B41" s="389" t="s">
        <v>428</v>
      </c>
      <c r="C41" s="341" t="s">
        <v>429</v>
      </c>
      <c r="D41" s="342">
        <v>4.0</v>
      </c>
      <c r="E41" s="343" t="s">
        <v>430</v>
      </c>
      <c r="F41" s="344" t="s">
        <v>431</v>
      </c>
      <c r="G41" s="345">
        <v>490.0</v>
      </c>
      <c r="H41" s="346"/>
      <c r="I41" s="347"/>
      <c r="J41" s="348"/>
      <c r="K41" s="349"/>
      <c r="L41" s="350"/>
      <c r="M41" s="351"/>
      <c r="N41" s="352"/>
      <c r="O41" s="353"/>
      <c r="P41" s="354"/>
      <c r="Q41" s="355"/>
      <c r="R41" s="342"/>
      <c r="S41" s="342">
        <f t="shared" si="11"/>
        <v>0</v>
      </c>
      <c r="T41" s="342"/>
      <c r="U41" s="356">
        <f t="shared" si="12"/>
        <v>0</v>
      </c>
    </row>
    <row r="42" ht="99.75" customHeight="1">
      <c r="A42" s="322">
        <f t="shared" si="10"/>
        <v>40.83333333</v>
      </c>
      <c r="B42" s="389" t="s">
        <v>432</v>
      </c>
      <c r="C42" s="341" t="s">
        <v>429</v>
      </c>
      <c r="D42" s="342">
        <v>4.0</v>
      </c>
      <c r="E42" s="343" t="s">
        <v>430</v>
      </c>
      <c r="F42" s="344" t="s">
        <v>433</v>
      </c>
      <c r="G42" s="345">
        <v>490.0</v>
      </c>
      <c r="H42" s="346"/>
      <c r="I42" s="347"/>
      <c r="J42" s="348"/>
      <c r="K42" s="349"/>
      <c r="L42" s="350"/>
      <c r="M42" s="351"/>
      <c r="N42" s="352"/>
      <c r="O42" s="353"/>
      <c r="P42" s="354"/>
      <c r="Q42" s="355"/>
      <c r="R42" s="342"/>
      <c r="S42" s="342">
        <f t="shared" si="11"/>
        <v>0</v>
      </c>
      <c r="T42" s="342"/>
      <c r="U42" s="356">
        <f t="shared" si="12"/>
        <v>0</v>
      </c>
    </row>
    <row r="43" ht="99.75" customHeight="1">
      <c r="A43" s="322">
        <f t="shared" si="10"/>
        <v>56.66666667</v>
      </c>
      <c r="B43" s="389" t="s">
        <v>434</v>
      </c>
      <c r="C43" s="341"/>
      <c r="D43" s="342">
        <v>3.0</v>
      </c>
      <c r="E43" s="343" t="s">
        <v>435</v>
      </c>
      <c r="F43" s="344" t="s">
        <v>436</v>
      </c>
      <c r="G43" s="345">
        <v>510.0</v>
      </c>
      <c r="H43" s="346"/>
      <c r="I43" s="347"/>
      <c r="J43" s="348"/>
      <c r="K43" s="349"/>
      <c r="L43" s="350"/>
      <c r="M43" s="351"/>
      <c r="N43" s="352"/>
      <c r="O43" s="353"/>
      <c r="P43" s="354"/>
      <c r="Q43" s="355"/>
      <c r="R43" s="342"/>
      <c r="S43" s="342">
        <f t="shared" si="11"/>
        <v>0</v>
      </c>
      <c r="T43" s="342"/>
      <c r="U43" s="356">
        <f t="shared" si="12"/>
        <v>0</v>
      </c>
    </row>
    <row r="44" ht="24.75" customHeight="1">
      <c r="H44" s="325">
        <f t="shared" ref="H44:T44" si="13">SUM(H7:H43)</f>
        <v>0</v>
      </c>
      <c r="I44" s="325">
        <f t="shared" si="13"/>
        <v>0</v>
      </c>
      <c r="J44" s="325">
        <f t="shared" si="13"/>
        <v>0</v>
      </c>
      <c r="K44" s="325">
        <f t="shared" si="13"/>
        <v>0</v>
      </c>
      <c r="L44" s="325">
        <f t="shared" si="13"/>
        <v>0</v>
      </c>
      <c r="M44" s="325">
        <f t="shared" si="13"/>
        <v>0</v>
      </c>
      <c r="N44" s="325">
        <f t="shared" si="13"/>
        <v>0</v>
      </c>
      <c r="O44" s="325">
        <f t="shared" si="13"/>
        <v>0</v>
      </c>
      <c r="P44" s="325">
        <f t="shared" si="13"/>
        <v>0</v>
      </c>
      <c r="Q44" s="325">
        <f t="shared" si="13"/>
        <v>0</v>
      </c>
      <c r="R44" s="325">
        <f t="shared" si="13"/>
        <v>0</v>
      </c>
      <c r="S44" s="325">
        <f t="shared" si="13"/>
        <v>0</v>
      </c>
      <c r="T44" s="325">
        <f t="shared" si="13"/>
        <v>0</v>
      </c>
      <c r="U44" s="390">
        <f>SUM(U6:U43)</f>
        <v>0</v>
      </c>
    </row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B34:C34"/>
    <mergeCell ref="E34:F34"/>
    <mergeCell ref="B2:U2"/>
    <mergeCell ref="B6:C6"/>
    <mergeCell ref="E6:F6"/>
    <mergeCell ref="B10:C10"/>
    <mergeCell ref="E10:F10"/>
    <mergeCell ref="B25:C25"/>
    <mergeCell ref="E25:F25"/>
  </mergeCells>
  <printOptions/>
  <pageMargins bottom="0.75" footer="0.0" header="0.0" left="0.7" right="0.7" top="0.75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5"/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4.57"/>
    <col customWidth="1" min="3" max="3" width="16.43"/>
    <col customWidth="1" min="4" max="4" width="9.14"/>
    <col customWidth="1" min="5" max="5" width="10.14"/>
    <col customWidth="1" min="6" max="6" width="11.43"/>
    <col customWidth="1" min="7" max="7" width="12.86"/>
    <col customWidth="1" min="8" max="18" width="9.14"/>
    <col customWidth="1" min="19" max="19" width="9.0"/>
    <col customWidth="1" min="20" max="20" width="9.14"/>
    <col customWidth="1" min="21" max="21" width="12.0"/>
  </cols>
  <sheetData>
    <row r="1">
      <c r="G1" s="302"/>
    </row>
    <row r="2">
      <c r="G2" s="148" t="s">
        <v>437</v>
      </c>
      <c r="P2" s="391"/>
    </row>
    <row r="3">
      <c r="P3" s="391"/>
    </row>
    <row r="4">
      <c r="G4" s="302"/>
      <c r="L4" s="392" t="s">
        <v>438</v>
      </c>
      <c r="M4" s="392" t="s">
        <v>438</v>
      </c>
      <c r="N4" s="392" t="s">
        <v>438</v>
      </c>
    </row>
    <row r="5">
      <c r="B5" s="15" t="s">
        <v>14</v>
      </c>
      <c r="C5" s="16" t="s">
        <v>205</v>
      </c>
      <c r="D5" s="17" t="s">
        <v>16</v>
      </c>
      <c r="E5" s="17" t="s">
        <v>337</v>
      </c>
      <c r="F5" s="17" t="s">
        <v>17</v>
      </c>
      <c r="G5" s="17" t="s">
        <v>133</v>
      </c>
      <c r="H5" s="291">
        <v>1018.0</v>
      </c>
      <c r="I5" s="292">
        <v>3020.0</v>
      </c>
      <c r="J5" s="293">
        <v>5015.0</v>
      </c>
      <c r="K5" s="294">
        <v>9005.0</v>
      </c>
      <c r="L5" s="295">
        <v>2005.0</v>
      </c>
      <c r="M5" s="296">
        <v>6038.0</v>
      </c>
      <c r="N5" s="297">
        <v>3017.0</v>
      </c>
      <c r="O5" s="298">
        <v>4008.0</v>
      </c>
      <c r="P5" s="299">
        <v>4005.0</v>
      </c>
      <c r="Q5" s="300">
        <v>6001.0</v>
      </c>
      <c r="R5" s="301">
        <v>9003.0</v>
      </c>
      <c r="S5" s="237" t="s">
        <v>338</v>
      </c>
      <c r="T5" s="238" t="s">
        <v>21</v>
      </c>
      <c r="U5" s="239" t="s">
        <v>206</v>
      </c>
    </row>
    <row r="6">
      <c r="B6" s="240"/>
      <c r="C6" s="240"/>
      <c r="D6" s="240"/>
      <c r="E6" s="240"/>
      <c r="F6" s="240"/>
      <c r="G6" s="240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393"/>
      <c r="T6" s="393"/>
      <c r="U6" s="393"/>
    </row>
    <row r="7">
      <c r="B7" s="394" t="s">
        <v>439</v>
      </c>
      <c r="C7" s="395"/>
      <c r="D7" s="396"/>
      <c r="E7" s="397"/>
      <c r="F7" s="398" t="s">
        <v>440</v>
      </c>
      <c r="G7" s="399">
        <v>3000.0</v>
      </c>
      <c r="H7" s="400"/>
      <c r="I7" s="401"/>
      <c r="J7" s="402"/>
      <c r="K7" s="403"/>
      <c r="L7" s="404"/>
      <c r="M7" s="405"/>
      <c r="N7" s="406"/>
      <c r="O7" s="407"/>
      <c r="P7" s="408"/>
      <c r="Q7" s="409"/>
      <c r="R7" s="410"/>
      <c r="S7" s="410">
        <f>SUM(H7:R7)*18</f>
        <v>0</v>
      </c>
      <c r="T7" s="410">
        <f t="shared" ref="T7:T8" si="1">S7*2.444</f>
        <v>0</v>
      </c>
      <c r="U7" s="411">
        <f>SUM(H7:R7)*G7</f>
        <v>0</v>
      </c>
    </row>
    <row r="8" ht="90.0" customHeight="1">
      <c r="B8" s="412" t="s">
        <v>441</v>
      </c>
      <c r="C8" s="413"/>
      <c r="D8" s="414">
        <v>1.0</v>
      </c>
      <c r="E8" s="414" t="s">
        <v>442</v>
      </c>
      <c r="F8" s="244" t="s">
        <v>443</v>
      </c>
      <c r="G8" s="415">
        <v>236.0</v>
      </c>
      <c r="H8" s="416"/>
      <c r="I8" s="417"/>
      <c r="J8" s="418"/>
      <c r="K8" s="419"/>
      <c r="L8" s="420"/>
      <c r="M8" s="421"/>
      <c r="N8" s="422"/>
      <c r="O8" s="423"/>
      <c r="P8" s="424"/>
      <c r="Q8" s="425"/>
      <c r="R8" s="414"/>
      <c r="S8" s="414">
        <f t="shared" ref="S8:S13" si="2">SUM(H8:R8)</f>
        <v>0</v>
      </c>
      <c r="T8" s="414">
        <f t="shared" si="1"/>
        <v>0</v>
      </c>
      <c r="U8" s="426">
        <f t="shared" ref="U8:U13" si="3">S8*G8</f>
        <v>0</v>
      </c>
    </row>
    <row r="9" ht="90.0" customHeight="1">
      <c r="B9" s="412" t="s">
        <v>444</v>
      </c>
      <c r="C9" s="287"/>
      <c r="D9" s="342">
        <v>1.0</v>
      </c>
      <c r="E9" s="342" t="s">
        <v>445</v>
      </c>
      <c r="F9" s="250" t="s">
        <v>446</v>
      </c>
      <c r="G9" s="345">
        <v>236.0</v>
      </c>
      <c r="H9" s="346"/>
      <c r="I9" s="347"/>
      <c r="J9" s="348"/>
      <c r="K9" s="349"/>
      <c r="L9" s="427"/>
      <c r="M9" s="428"/>
      <c r="N9" s="352"/>
      <c r="O9" s="353"/>
      <c r="P9" s="354"/>
      <c r="Q9" s="429"/>
      <c r="R9" s="342"/>
      <c r="S9" s="342">
        <f t="shared" si="2"/>
        <v>0</v>
      </c>
      <c r="T9" s="342">
        <f>S9*2.105</f>
        <v>0</v>
      </c>
      <c r="U9" s="356">
        <f t="shared" si="3"/>
        <v>0</v>
      </c>
    </row>
    <row r="10" ht="90.0" customHeight="1">
      <c r="B10" s="412" t="s">
        <v>447</v>
      </c>
      <c r="C10" s="287"/>
      <c r="D10" s="342">
        <v>1.0</v>
      </c>
      <c r="E10" s="342" t="s">
        <v>448</v>
      </c>
      <c r="F10" s="250" t="s">
        <v>449</v>
      </c>
      <c r="G10" s="345">
        <v>206.0</v>
      </c>
      <c r="H10" s="346"/>
      <c r="I10" s="347"/>
      <c r="J10" s="348"/>
      <c r="K10" s="349"/>
      <c r="L10" s="427"/>
      <c r="M10" s="428"/>
      <c r="N10" s="352"/>
      <c r="O10" s="353"/>
      <c r="P10" s="354"/>
      <c r="Q10" s="429"/>
      <c r="R10" s="342"/>
      <c r="S10" s="342">
        <f t="shared" si="2"/>
        <v>0</v>
      </c>
      <c r="T10" s="342">
        <f>S10*2.208</f>
        <v>0</v>
      </c>
      <c r="U10" s="356">
        <f t="shared" si="3"/>
        <v>0</v>
      </c>
    </row>
    <row r="11" ht="90.0" customHeight="1">
      <c r="B11" s="412" t="s">
        <v>450</v>
      </c>
      <c r="C11" s="287"/>
      <c r="D11" s="342">
        <v>1.0</v>
      </c>
      <c r="E11" s="342" t="s">
        <v>451</v>
      </c>
      <c r="F11" s="250" t="s">
        <v>452</v>
      </c>
      <c r="G11" s="345">
        <v>206.0</v>
      </c>
      <c r="H11" s="346"/>
      <c r="I11" s="347"/>
      <c r="J11" s="348"/>
      <c r="K11" s="349"/>
      <c r="L11" s="427"/>
      <c r="M11" s="428"/>
      <c r="N11" s="352"/>
      <c r="O11" s="353"/>
      <c r="P11" s="354"/>
      <c r="Q11" s="429"/>
      <c r="R11" s="342"/>
      <c r="S11" s="342">
        <f t="shared" si="2"/>
        <v>0</v>
      </c>
      <c r="T11" s="342">
        <f>S11*2.644</f>
        <v>0</v>
      </c>
      <c r="U11" s="356">
        <f t="shared" si="3"/>
        <v>0</v>
      </c>
    </row>
    <row r="12" ht="90.0" customHeight="1">
      <c r="B12" s="430" t="s">
        <v>453</v>
      </c>
      <c r="C12" s="287"/>
      <c r="D12" s="342">
        <v>1.0</v>
      </c>
      <c r="E12" s="342" t="s">
        <v>454</v>
      </c>
      <c r="F12" s="250" t="s">
        <v>455</v>
      </c>
      <c r="G12" s="345">
        <v>185.0</v>
      </c>
      <c r="H12" s="346"/>
      <c r="I12" s="347"/>
      <c r="J12" s="348"/>
      <c r="K12" s="349"/>
      <c r="L12" s="427"/>
      <c r="M12" s="428"/>
      <c r="N12" s="352"/>
      <c r="O12" s="353"/>
      <c r="P12" s="354"/>
      <c r="Q12" s="429"/>
      <c r="R12" s="342"/>
      <c r="S12" s="342">
        <f t="shared" si="2"/>
        <v>0</v>
      </c>
      <c r="T12" s="342">
        <f>S12*2.205</f>
        <v>0</v>
      </c>
      <c r="U12" s="356">
        <f t="shared" si="3"/>
        <v>0</v>
      </c>
    </row>
    <row r="13" ht="90.0" customHeight="1">
      <c r="B13" s="430" t="s">
        <v>456</v>
      </c>
      <c r="C13" s="287"/>
      <c r="D13" s="342">
        <v>1.0</v>
      </c>
      <c r="E13" s="342" t="s">
        <v>457</v>
      </c>
      <c r="F13" s="250" t="s">
        <v>458</v>
      </c>
      <c r="G13" s="345">
        <v>228.0</v>
      </c>
      <c r="H13" s="346"/>
      <c r="I13" s="347"/>
      <c r="J13" s="348"/>
      <c r="K13" s="431"/>
      <c r="L13" s="427"/>
      <c r="M13" s="428"/>
      <c r="N13" s="352"/>
      <c r="O13" s="353"/>
      <c r="P13" s="354"/>
      <c r="Q13" s="429"/>
      <c r="R13" s="342"/>
      <c r="S13" s="342">
        <f t="shared" si="2"/>
        <v>0</v>
      </c>
      <c r="T13" s="342">
        <f>S13*2.557</f>
        <v>0</v>
      </c>
      <c r="U13" s="356">
        <f t="shared" si="3"/>
        <v>0</v>
      </c>
    </row>
    <row r="14" ht="23.25" customHeight="1">
      <c r="B14" s="432"/>
      <c r="C14" s="433"/>
      <c r="D14" s="434"/>
      <c r="E14" s="434"/>
      <c r="F14" s="435"/>
      <c r="G14" s="436">
        <v>0.0</v>
      </c>
      <c r="H14" s="437"/>
      <c r="I14" s="437"/>
      <c r="J14" s="437"/>
      <c r="K14" s="437"/>
      <c r="L14" s="437"/>
      <c r="M14" s="437"/>
      <c r="N14" s="437"/>
      <c r="O14" s="437"/>
      <c r="P14" s="437"/>
      <c r="Q14" s="437"/>
      <c r="R14" s="437"/>
      <c r="S14" s="434"/>
      <c r="T14" s="434"/>
      <c r="U14" s="438"/>
    </row>
    <row r="15">
      <c r="B15" s="439" t="s">
        <v>459</v>
      </c>
      <c r="C15" s="440"/>
      <c r="D15" s="410">
        <f>SUM(D16:D27)</f>
        <v>12</v>
      </c>
      <c r="E15" s="410"/>
      <c r="F15" s="441" t="s">
        <v>387</v>
      </c>
      <c r="G15" s="442">
        <v>1900.0</v>
      </c>
      <c r="H15" s="400"/>
      <c r="I15" s="401"/>
      <c r="J15" s="402"/>
      <c r="K15" s="403"/>
      <c r="L15" s="404"/>
      <c r="M15" s="405"/>
      <c r="N15" s="406"/>
      <c r="O15" s="407"/>
      <c r="P15" s="408"/>
      <c r="Q15" s="409"/>
      <c r="R15" s="410"/>
      <c r="S15" s="410">
        <f>SUM(H15:R15)*18</f>
        <v>0</v>
      </c>
      <c r="T15" s="410">
        <f t="shared" ref="T15:T16" si="4">S15*1.741</f>
        <v>0</v>
      </c>
      <c r="U15" s="411">
        <f>SUM(H15:R15)*G15</f>
        <v>0</v>
      </c>
    </row>
    <row r="16" ht="90.0" customHeight="1">
      <c r="B16" s="376" t="s">
        <v>460</v>
      </c>
      <c r="C16" s="324"/>
      <c r="D16" s="325">
        <v>1.0</v>
      </c>
      <c r="E16" s="325" t="s">
        <v>461</v>
      </c>
      <c r="F16" s="372" t="s">
        <v>462</v>
      </c>
      <c r="G16" s="328">
        <v>174.0</v>
      </c>
      <c r="H16" s="329"/>
      <c r="I16" s="330"/>
      <c r="J16" s="331"/>
      <c r="K16" s="332"/>
      <c r="L16" s="443"/>
      <c r="M16" s="444"/>
      <c r="N16" s="335"/>
      <c r="O16" s="336"/>
      <c r="P16" s="337"/>
      <c r="Q16" s="445"/>
      <c r="R16" s="325"/>
      <c r="S16" s="325">
        <f t="shared" ref="S16:S27" si="5">SUM(H16:R16)</f>
        <v>0</v>
      </c>
      <c r="T16" s="325">
        <f t="shared" si="4"/>
        <v>0</v>
      </c>
      <c r="U16" s="339">
        <f t="shared" ref="U16:U27" si="6">S16*G16</f>
        <v>0</v>
      </c>
    </row>
    <row r="17" ht="90.0" customHeight="1">
      <c r="B17" s="430" t="s">
        <v>463</v>
      </c>
      <c r="C17" s="287"/>
      <c r="D17" s="342">
        <v>1.0</v>
      </c>
      <c r="E17" s="342" t="s">
        <v>464</v>
      </c>
      <c r="F17" s="250" t="s">
        <v>465</v>
      </c>
      <c r="G17" s="345">
        <v>184.0</v>
      </c>
      <c r="H17" s="346"/>
      <c r="I17" s="347"/>
      <c r="J17" s="348"/>
      <c r="K17" s="349"/>
      <c r="L17" s="427"/>
      <c r="M17" s="428"/>
      <c r="N17" s="352"/>
      <c r="O17" s="353"/>
      <c r="P17" s="354"/>
      <c r="Q17" s="429"/>
      <c r="R17" s="342"/>
      <c r="S17" s="342">
        <f t="shared" si="5"/>
        <v>0</v>
      </c>
      <c r="T17" s="342">
        <f>S17*1.609</f>
        <v>0</v>
      </c>
      <c r="U17" s="356">
        <f t="shared" si="6"/>
        <v>0</v>
      </c>
    </row>
    <row r="18" ht="90.0" customHeight="1">
      <c r="B18" s="430" t="s">
        <v>466</v>
      </c>
      <c r="C18" s="287"/>
      <c r="D18" s="342">
        <v>1.0</v>
      </c>
      <c r="E18" s="342" t="s">
        <v>467</v>
      </c>
      <c r="F18" s="250" t="s">
        <v>468</v>
      </c>
      <c r="G18" s="345">
        <v>184.0</v>
      </c>
      <c r="H18" s="346"/>
      <c r="I18" s="347"/>
      <c r="J18" s="348"/>
      <c r="K18" s="349"/>
      <c r="L18" s="427"/>
      <c r="M18" s="428"/>
      <c r="N18" s="352"/>
      <c r="O18" s="353"/>
      <c r="P18" s="354"/>
      <c r="Q18" s="429"/>
      <c r="R18" s="342"/>
      <c r="S18" s="342">
        <f t="shared" si="5"/>
        <v>0</v>
      </c>
      <c r="T18" s="342">
        <f>S18*1.671</f>
        <v>0</v>
      </c>
      <c r="U18" s="356">
        <f t="shared" si="6"/>
        <v>0</v>
      </c>
    </row>
    <row r="19" ht="90.0" customHeight="1">
      <c r="B19" s="430" t="s">
        <v>469</v>
      </c>
      <c r="C19" s="341"/>
      <c r="D19" s="342">
        <v>1.0</v>
      </c>
      <c r="E19" s="342" t="s">
        <v>470</v>
      </c>
      <c r="F19" s="250" t="s">
        <v>471</v>
      </c>
      <c r="G19" s="345">
        <v>186.0</v>
      </c>
      <c r="H19" s="346"/>
      <c r="I19" s="347"/>
      <c r="J19" s="348"/>
      <c r="K19" s="349"/>
      <c r="L19" s="427"/>
      <c r="M19" s="428"/>
      <c r="N19" s="352"/>
      <c r="O19" s="353"/>
      <c r="P19" s="354"/>
      <c r="Q19" s="429"/>
      <c r="R19" s="342"/>
      <c r="S19" s="342">
        <f t="shared" si="5"/>
        <v>0</v>
      </c>
      <c r="T19" s="342"/>
      <c r="U19" s="356">
        <f t="shared" si="6"/>
        <v>0</v>
      </c>
    </row>
    <row r="20" ht="90.0" customHeight="1">
      <c r="B20" s="430" t="s">
        <v>472</v>
      </c>
      <c r="C20" s="341"/>
      <c r="D20" s="342">
        <v>1.0</v>
      </c>
      <c r="E20" s="342" t="s">
        <v>470</v>
      </c>
      <c r="F20" s="250" t="s">
        <v>473</v>
      </c>
      <c r="G20" s="345">
        <v>186.0</v>
      </c>
      <c r="H20" s="346"/>
      <c r="I20" s="347"/>
      <c r="J20" s="348"/>
      <c r="K20" s="349"/>
      <c r="L20" s="427"/>
      <c r="M20" s="428"/>
      <c r="N20" s="352"/>
      <c r="O20" s="353"/>
      <c r="P20" s="354"/>
      <c r="Q20" s="429"/>
      <c r="R20" s="342"/>
      <c r="S20" s="342">
        <f t="shared" si="5"/>
        <v>0</v>
      </c>
      <c r="T20" s="342"/>
      <c r="U20" s="356">
        <f t="shared" si="6"/>
        <v>0</v>
      </c>
    </row>
    <row r="21" ht="90.0" customHeight="1">
      <c r="B21" s="430" t="s">
        <v>474</v>
      </c>
      <c r="C21" s="341"/>
      <c r="D21" s="342">
        <v>1.0</v>
      </c>
      <c r="E21" s="342" t="s">
        <v>470</v>
      </c>
      <c r="F21" s="250" t="s">
        <v>475</v>
      </c>
      <c r="G21" s="345">
        <v>186.0</v>
      </c>
      <c r="H21" s="346"/>
      <c r="I21" s="347"/>
      <c r="J21" s="348"/>
      <c r="K21" s="349"/>
      <c r="L21" s="427"/>
      <c r="M21" s="428"/>
      <c r="N21" s="352"/>
      <c r="O21" s="353"/>
      <c r="P21" s="354"/>
      <c r="Q21" s="429"/>
      <c r="R21" s="342"/>
      <c r="S21" s="342">
        <f t="shared" si="5"/>
        <v>0</v>
      </c>
      <c r="T21" s="342"/>
      <c r="U21" s="356">
        <f t="shared" si="6"/>
        <v>0</v>
      </c>
    </row>
    <row r="22" ht="90.0" customHeight="1">
      <c r="B22" s="430" t="s">
        <v>476</v>
      </c>
      <c r="C22" s="287"/>
      <c r="D22" s="342">
        <v>1.0</v>
      </c>
      <c r="E22" s="342" t="s">
        <v>477</v>
      </c>
      <c r="F22" s="250" t="s">
        <v>478</v>
      </c>
      <c r="G22" s="345">
        <v>147.0</v>
      </c>
      <c r="H22" s="346"/>
      <c r="I22" s="347"/>
      <c r="J22" s="348"/>
      <c r="K22" s="349"/>
      <c r="L22" s="427"/>
      <c r="M22" s="428"/>
      <c r="N22" s="352"/>
      <c r="O22" s="353"/>
      <c r="P22" s="354"/>
      <c r="Q22" s="429"/>
      <c r="R22" s="342"/>
      <c r="S22" s="342">
        <f t="shared" si="5"/>
        <v>0</v>
      </c>
      <c r="T22" s="342">
        <f>S22*1.555</f>
        <v>0</v>
      </c>
      <c r="U22" s="356">
        <f t="shared" si="6"/>
        <v>0</v>
      </c>
    </row>
    <row r="23" ht="90.0" customHeight="1">
      <c r="B23" s="430" t="s">
        <v>479</v>
      </c>
      <c r="C23" s="287"/>
      <c r="D23" s="342">
        <v>1.0</v>
      </c>
      <c r="E23" s="342" t="s">
        <v>480</v>
      </c>
      <c r="F23" s="250" t="s">
        <v>481</v>
      </c>
      <c r="G23" s="345">
        <v>147.0</v>
      </c>
      <c r="H23" s="346"/>
      <c r="I23" s="347"/>
      <c r="J23" s="348"/>
      <c r="K23" s="349"/>
      <c r="L23" s="427"/>
      <c r="M23" s="428"/>
      <c r="N23" s="352"/>
      <c r="O23" s="353"/>
      <c r="P23" s="354"/>
      <c r="Q23" s="429"/>
      <c r="R23" s="342"/>
      <c r="S23" s="342">
        <f t="shared" si="5"/>
        <v>0</v>
      </c>
      <c r="T23" s="342">
        <f>S23*1.599</f>
        <v>0</v>
      </c>
      <c r="U23" s="356">
        <f t="shared" si="6"/>
        <v>0</v>
      </c>
    </row>
    <row r="24" ht="90.0" customHeight="1">
      <c r="B24" s="430" t="s">
        <v>482</v>
      </c>
      <c r="C24" s="287"/>
      <c r="D24" s="342">
        <v>1.0</v>
      </c>
      <c r="E24" s="342" t="s">
        <v>483</v>
      </c>
      <c r="F24" s="250" t="s">
        <v>484</v>
      </c>
      <c r="G24" s="345">
        <v>147.0</v>
      </c>
      <c r="H24" s="346"/>
      <c r="I24" s="347"/>
      <c r="J24" s="348"/>
      <c r="K24" s="349"/>
      <c r="L24" s="427"/>
      <c r="M24" s="428"/>
      <c r="N24" s="352"/>
      <c r="O24" s="353"/>
      <c r="P24" s="354"/>
      <c r="Q24" s="429"/>
      <c r="R24" s="342"/>
      <c r="S24" s="342">
        <f t="shared" si="5"/>
        <v>0</v>
      </c>
      <c r="T24" s="342">
        <f>S24*1.564</f>
        <v>0</v>
      </c>
      <c r="U24" s="356">
        <f t="shared" si="6"/>
        <v>0</v>
      </c>
    </row>
    <row r="25" ht="90.0" customHeight="1">
      <c r="B25" s="430" t="s">
        <v>485</v>
      </c>
      <c r="C25" s="287"/>
      <c r="D25" s="342">
        <v>1.0</v>
      </c>
      <c r="E25" s="342" t="s">
        <v>486</v>
      </c>
      <c r="F25" s="250" t="s">
        <v>487</v>
      </c>
      <c r="G25" s="345">
        <v>147.0</v>
      </c>
      <c r="H25" s="346"/>
      <c r="I25" s="347"/>
      <c r="J25" s="348"/>
      <c r="K25" s="349"/>
      <c r="L25" s="427"/>
      <c r="M25" s="428"/>
      <c r="N25" s="352"/>
      <c r="O25" s="353"/>
      <c r="P25" s="354"/>
      <c r="Q25" s="429"/>
      <c r="R25" s="342"/>
      <c r="S25" s="342">
        <f t="shared" si="5"/>
        <v>0</v>
      </c>
      <c r="T25" s="342">
        <f>S25*1.357</f>
        <v>0</v>
      </c>
      <c r="U25" s="356">
        <f t="shared" si="6"/>
        <v>0</v>
      </c>
    </row>
    <row r="26" ht="90.0" customHeight="1">
      <c r="B26" s="430" t="s">
        <v>488</v>
      </c>
      <c r="C26" s="287"/>
      <c r="D26" s="342">
        <v>1.0</v>
      </c>
      <c r="E26" s="342" t="s">
        <v>489</v>
      </c>
      <c r="F26" s="250" t="s">
        <v>490</v>
      </c>
      <c r="G26" s="345">
        <v>156.0</v>
      </c>
      <c r="H26" s="346"/>
      <c r="I26" s="347"/>
      <c r="J26" s="348"/>
      <c r="K26" s="349"/>
      <c r="L26" s="427"/>
      <c r="M26" s="428"/>
      <c r="N26" s="352"/>
      <c r="O26" s="353"/>
      <c r="P26" s="354"/>
      <c r="Q26" s="429"/>
      <c r="R26" s="342"/>
      <c r="S26" s="342">
        <f t="shared" si="5"/>
        <v>0</v>
      </c>
      <c r="T26" s="342">
        <f>S26*1.613</f>
        <v>0</v>
      </c>
      <c r="U26" s="356">
        <f t="shared" si="6"/>
        <v>0</v>
      </c>
    </row>
    <row r="27" ht="90.0" customHeight="1">
      <c r="B27" s="430" t="s">
        <v>491</v>
      </c>
      <c r="C27" s="287"/>
      <c r="D27" s="342">
        <v>1.0</v>
      </c>
      <c r="E27" s="342" t="s">
        <v>492</v>
      </c>
      <c r="F27" s="250" t="s">
        <v>493</v>
      </c>
      <c r="G27" s="345">
        <v>156.0</v>
      </c>
      <c r="H27" s="346"/>
      <c r="I27" s="347"/>
      <c r="J27" s="348"/>
      <c r="K27" s="349"/>
      <c r="L27" s="427"/>
      <c r="M27" s="428"/>
      <c r="N27" s="352"/>
      <c r="O27" s="353"/>
      <c r="P27" s="354"/>
      <c r="Q27" s="429"/>
      <c r="R27" s="342"/>
      <c r="S27" s="342">
        <f t="shared" si="5"/>
        <v>0</v>
      </c>
      <c r="T27" s="342">
        <f>S27*1.592</f>
        <v>0</v>
      </c>
      <c r="U27" s="356">
        <f t="shared" si="6"/>
        <v>0</v>
      </c>
    </row>
    <row r="28" ht="24.0" customHeight="1">
      <c r="G28" s="446"/>
      <c r="U28" s="357"/>
    </row>
    <row r="29" ht="20.25" customHeight="1">
      <c r="B29" s="447" t="s">
        <v>494</v>
      </c>
      <c r="C29" s="448"/>
      <c r="D29" s="342">
        <f>SUM(D30:D47)</f>
        <v>20</v>
      </c>
      <c r="E29" s="342"/>
      <c r="F29" s="449" t="s">
        <v>410</v>
      </c>
      <c r="G29" s="442">
        <v>3000.0</v>
      </c>
      <c r="H29" s="346"/>
      <c r="I29" s="347"/>
      <c r="J29" s="348"/>
      <c r="K29" s="349"/>
      <c r="L29" s="427"/>
      <c r="M29" s="428"/>
      <c r="N29" s="352"/>
      <c r="O29" s="353"/>
      <c r="P29" s="354"/>
      <c r="Q29" s="429"/>
      <c r="R29" s="342"/>
      <c r="S29" s="410">
        <f>SUM(H29:R29)*18</f>
        <v>0</v>
      </c>
      <c r="T29" s="342">
        <f t="shared" ref="T29:T30" si="7">S29*1.884</f>
        <v>0</v>
      </c>
      <c r="U29" s="411">
        <f>SUM(H29:R29)*G29</f>
        <v>0</v>
      </c>
    </row>
    <row r="30" ht="90.0" customHeight="1">
      <c r="B30" s="430" t="s">
        <v>495</v>
      </c>
      <c r="C30" s="287"/>
      <c r="D30" s="342">
        <v>1.0</v>
      </c>
      <c r="E30" s="342" t="s">
        <v>496</v>
      </c>
      <c r="F30" s="250" t="s">
        <v>497</v>
      </c>
      <c r="G30" s="345">
        <v>184.0</v>
      </c>
      <c r="H30" s="346"/>
      <c r="I30" s="347"/>
      <c r="J30" s="348"/>
      <c r="K30" s="431"/>
      <c r="L30" s="427"/>
      <c r="M30" s="428"/>
      <c r="N30" s="352"/>
      <c r="O30" s="353"/>
      <c r="P30" s="354"/>
      <c r="Q30" s="429"/>
      <c r="R30" s="342"/>
      <c r="S30" s="342">
        <f t="shared" ref="S30:S38" si="8">SUM(H30:R30)</f>
        <v>0</v>
      </c>
      <c r="T30" s="342">
        <f t="shared" si="7"/>
        <v>0</v>
      </c>
      <c r="U30" s="356">
        <f t="shared" ref="U30:U38" si="9">S30*G30</f>
        <v>0</v>
      </c>
    </row>
    <row r="31" ht="90.0" customHeight="1">
      <c r="B31" s="430" t="s">
        <v>498</v>
      </c>
      <c r="C31" s="287"/>
      <c r="D31" s="342">
        <v>1.0</v>
      </c>
      <c r="E31" s="342" t="s">
        <v>499</v>
      </c>
      <c r="F31" s="250" t="s">
        <v>500</v>
      </c>
      <c r="G31" s="345">
        <v>174.0</v>
      </c>
      <c r="H31" s="346"/>
      <c r="I31" s="347"/>
      <c r="J31" s="348"/>
      <c r="K31" s="431"/>
      <c r="L31" s="427"/>
      <c r="M31" s="428"/>
      <c r="N31" s="352"/>
      <c r="O31" s="353"/>
      <c r="P31" s="354"/>
      <c r="Q31" s="429"/>
      <c r="R31" s="342"/>
      <c r="S31" s="342">
        <f t="shared" si="8"/>
        <v>0</v>
      </c>
      <c r="T31" s="342">
        <f>S31*1.879</f>
        <v>0</v>
      </c>
      <c r="U31" s="356">
        <f t="shared" si="9"/>
        <v>0</v>
      </c>
    </row>
    <row r="32" ht="90.0" customHeight="1">
      <c r="B32" s="430" t="s">
        <v>501</v>
      </c>
      <c r="C32" s="287"/>
      <c r="D32" s="342">
        <v>1.0</v>
      </c>
      <c r="E32" s="342" t="s">
        <v>502</v>
      </c>
      <c r="F32" s="250" t="s">
        <v>503</v>
      </c>
      <c r="G32" s="345">
        <v>158.0</v>
      </c>
      <c r="H32" s="346"/>
      <c r="I32" s="347"/>
      <c r="J32" s="348"/>
      <c r="K32" s="431"/>
      <c r="L32" s="427"/>
      <c r="M32" s="428"/>
      <c r="N32" s="352"/>
      <c r="O32" s="353"/>
      <c r="P32" s="354"/>
      <c r="Q32" s="429"/>
      <c r="R32" s="342"/>
      <c r="S32" s="342">
        <f t="shared" si="8"/>
        <v>0</v>
      </c>
      <c r="T32" s="342"/>
      <c r="U32" s="356">
        <f t="shared" si="9"/>
        <v>0</v>
      </c>
    </row>
    <row r="33" ht="90.0" customHeight="1">
      <c r="B33" s="430" t="s">
        <v>504</v>
      </c>
      <c r="C33" s="287"/>
      <c r="D33" s="342">
        <v>1.0</v>
      </c>
      <c r="E33" s="342"/>
      <c r="F33" s="250" t="s">
        <v>505</v>
      </c>
      <c r="G33" s="345">
        <v>159.0</v>
      </c>
      <c r="H33" s="346"/>
      <c r="I33" s="347"/>
      <c r="J33" s="348"/>
      <c r="K33" s="431"/>
      <c r="L33" s="427"/>
      <c r="M33" s="428"/>
      <c r="N33" s="352"/>
      <c r="O33" s="353"/>
      <c r="P33" s="354"/>
      <c r="Q33" s="429"/>
      <c r="R33" s="342"/>
      <c r="S33" s="342">
        <f t="shared" si="8"/>
        <v>0</v>
      </c>
      <c r="T33" s="342"/>
      <c r="U33" s="356">
        <f t="shared" si="9"/>
        <v>0</v>
      </c>
    </row>
    <row r="34" ht="90.0" customHeight="1">
      <c r="B34" s="430" t="s">
        <v>506</v>
      </c>
      <c r="C34" s="287"/>
      <c r="D34" s="342">
        <v>1.0</v>
      </c>
      <c r="E34" s="342"/>
      <c r="F34" s="250" t="s">
        <v>507</v>
      </c>
      <c r="G34" s="345">
        <v>159.0</v>
      </c>
      <c r="H34" s="346"/>
      <c r="I34" s="347"/>
      <c r="J34" s="348"/>
      <c r="K34" s="349"/>
      <c r="L34" s="427"/>
      <c r="M34" s="428"/>
      <c r="N34" s="352"/>
      <c r="O34" s="353"/>
      <c r="P34" s="354"/>
      <c r="Q34" s="429"/>
      <c r="R34" s="342"/>
      <c r="S34" s="342">
        <f t="shared" si="8"/>
        <v>0</v>
      </c>
      <c r="T34" s="342"/>
      <c r="U34" s="356">
        <f t="shared" si="9"/>
        <v>0</v>
      </c>
    </row>
    <row r="35" ht="90.0" customHeight="1">
      <c r="B35" s="430" t="s">
        <v>508</v>
      </c>
      <c r="C35" s="287"/>
      <c r="D35" s="342">
        <v>1.0</v>
      </c>
      <c r="E35" s="342" t="s">
        <v>509</v>
      </c>
      <c r="F35" s="250" t="s">
        <v>510</v>
      </c>
      <c r="G35" s="345">
        <v>188.0</v>
      </c>
      <c r="H35" s="346"/>
      <c r="I35" s="347"/>
      <c r="J35" s="348"/>
      <c r="K35" s="349"/>
      <c r="L35" s="427"/>
      <c r="M35" s="428"/>
      <c r="N35" s="352"/>
      <c r="O35" s="353"/>
      <c r="P35" s="354"/>
      <c r="Q35" s="429"/>
      <c r="R35" s="342"/>
      <c r="S35" s="342">
        <f t="shared" si="8"/>
        <v>0</v>
      </c>
      <c r="T35" s="342"/>
      <c r="U35" s="356">
        <f t="shared" si="9"/>
        <v>0</v>
      </c>
    </row>
    <row r="36" ht="90.0" customHeight="1">
      <c r="B36" s="430" t="s">
        <v>511</v>
      </c>
      <c r="C36" s="287"/>
      <c r="D36" s="342">
        <v>1.0</v>
      </c>
      <c r="E36" s="342"/>
      <c r="F36" s="250" t="s">
        <v>512</v>
      </c>
      <c r="G36" s="345">
        <v>159.0</v>
      </c>
      <c r="H36" s="346"/>
      <c r="I36" s="347"/>
      <c r="J36" s="348"/>
      <c r="K36" s="349"/>
      <c r="L36" s="427"/>
      <c r="M36" s="428"/>
      <c r="N36" s="352"/>
      <c r="O36" s="353"/>
      <c r="P36" s="354"/>
      <c r="Q36" s="429"/>
      <c r="R36" s="342"/>
      <c r="S36" s="342">
        <f t="shared" si="8"/>
        <v>0</v>
      </c>
      <c r="T36" s="342"/>
      <c r="U36" s="356">
        <f t="shared" si="9"/>
        <v>0</v>
      </c>
    </row>
    <row r="37" ht="90.0" customHeight="1">
      <c r="B37" s="430" t="s">
        <v>513</v>
      </c>
      <c r="C37" s="287"/>
      <c r="D37" s="342">
        <v>1.0</v>
      </c>
      <c r="E37" s="342"/>
      <c r="F37" s="250" t="s">
        <v>514</v>
      </c>
      <c r="G37" s="345">
        <v>159.0</v>
      </c>
      <c r="H37" s="346"/>
      <c r="I37" s="347"/>
      <c r="J37" s="348"/>
      <c r="K37" s="349"/>
      <c r="L37" s="427"/>
      <c r="M37" s="428"/>
      <c r="N37" s="352"/>
      <c r="O37" s="353"/>
      <c r="P37" s="354"/>
      <c r="Q37" s="429"/>
      <c r="R37" s="342"/>
      <c r="S37" s="342">
        <f t="shared" si="8"/>
        <v>0</v>
      </c>
      <c r="T37" s="342"/>
      <c r="U37" s="356">
        <f t="shared" si="9"/>
        <v>0</v>
      </c>
    </row>
    <row r="38" ht="90.0" customHeight="1">
      <c r="B38" s="430" t="s">
        <v>515</v>
      </c>
      <c r="C38" s="287"/>
      <c r="D38" s="342">
        <v>4.0</v>
      </c>
      <c r="E38" s="343" t="s">
        <v>516</v>
      </c>
      <c r="F38" s="344" t="s">
        <v>517</v>
      </c>
      <c r="G38" s="345">
        <v>558.0</v>
      </c>
      <c r="H38" s="346"/>
      <c r="I38" s="347"/>
      <c r="J38" s="348"/>
      <c r="K38" s="349"/>
      <c r="L38" s="427"/>
      <c r="M38" s="428"/>
      <c r="N38" s="352"/>
      <c r="O38" s="353"/>
      <c r="P38" s="354"/>
      <c r="Q38" s="429"/>
      <c r="R38" s="342"/>
      <c r="S38" s="342">
        <f t="shared" si="8"/>
        <v>0</v>
      </c>
      <c r="T38" s="342"/>
      <c r="U38" s="356">
        <f t="shared" si="9"/>
        <v>0</v>
      </c>
    </row>
    <row r="39" ht="2.25" customHeight="1">
      <c r="B39" s="430"/>
      <c r="C39" s="287"/>
      <c r="D39" s="342"/>
      <c r="E39" s="342"/>
      <c r="F39" s="250"/>
      <c r="G39" s="345">
        <v>0.0</v>
      </c>
      <c r="H39" s="373"/>
      <c r="I39" s="373"/>
      <c r="J39" s="373"/>
      <c r="K39" s="450"/>
      <c r="L39" s="373"/>
      <c r="M39" s="373"/>
      <c r="N39" s="373"/>
      <c r="O39" s="373"/>
      <c r="P39" s="450"/>
      <c r="Q39" s="373"/>
      <c r="R39" s="342"/>
      <c r="S39" s="342"/>
      <c r="T39" s="342"/>
      <c r="U39" s="356"/>
    </row>
    <row r="40" ht="90.0" customHeight="1">
      <c r="B40" s="430" t="s">
        <v>518</v>
      </c>
      <c r="C40" s="287"/>
      <c r="D40" s="342">
        <v>1.0</v>
      </c>
      <c r="E40" s="342" t="s">
        <v>519</v>
      </c>
      <c r="F40" s="250" t="s">
        <v>520</v>
      </c>
      <c r="G40" s="345">
        <v>178.0</v>
      </c>
      <c r="H40" s="346"/>
      <c r="I40" s="347"/>
      <c r="J40" s="348"/>
      <c r="K40" s="349"/>
      <c r="L40" s="427"/>
      <c r="M40" s="428"/>
      <c r="N40" s="352"/>
      <c r="O40" s="353"/>
      <c r="P40" s="354"/>
      <c r="Q40" s="429"/>
      <c r="R40" s="342"/>
      <c r="S40" s="342">
        <f t="shared" ref="S40:S47" si="10">SUM(H40:R40)</f>
        <v>0</v>
      </c>
      <c r="T40" s="342"/>
      <c r="U40" s="356">
        <f t="shared" ref="U40:U47" si="11">S40*G40</f>
        <v>0</v>
      </c>
    </row>
    <row r="41" ht="90.0" customHeight="1">
      <c r="B41" s="430" t="s">
        <v>521</v>
      </c>
      <c r="C41" s="287"/>
      <c r="D41" s="342">
        <v>1.0</v>
      </c>
      <c r="E41" s="342" t="s">
        <v>522</v>
      </c>
      <c r="F41" s="250" t="s">
        <v>523</v>
      </c>
      <c r="G41" s="345">
        <v>190.0</v>
      </c>
      <c r="H41" s="346"/>
      <c r="I41" s="347"/>
      <c r="J41" s="348"/>
      <c r="K41" s="349"/>
      <c r="L41" s="427"/>
      <c r="M41" s="428"/>
      <c r="N41" s="352"/>
      <c r="O41" s="353"/>
      <c r="P41" s="354"/>
      <c r="Q41" s="429"/>
      <c r="R41" s="342"/>
      <c r="S41" s="342">
        <f t="shared" si="10"/>
        <v>0</v>
      </c>
      <c r="T41" s="342"/>
      <c r="U41" s="356">
        <f t="shared" si="11"/>
        <v>0</v>
      </c>
    </row>
    <row r="42" ht="90.0" customHeight="1">
      <c r="B42" s="430" t="s">
        <v>524</v>
      </c>
      <c r="C42" s="287"/>
      <c r="D42" s="342">
        <v>1.0</v>
      </c>
      <c r="E42" s="451" t="s">
        <v>525</v>
      </c>
      <c r="F42" s="250" t="s">
        <v>526</v>
      </c>
      <c r="G42" s="345">
        <v>200.0</v>
      </c>
      <c r="H42" s="346"/>
      <c r="I42" s="347"/>
      <c r="J42" s="348"/>
      <c r="K42" s="349"/>
      <c r="L42" s="427"/>
      <c r="M42" s="428"/>
      <c r="N42" s="352"/>
      <c r="O42" s="353"/>
      <c r="P42" s="354"/>
      <c r="Q42" s="429"/>
      <c r="R42" s="342"/>
      <c r="S42" s="342">
        <f t="shared" si="10"/>
        <v>0</v>
      </c>
      <c r="T42" s="342"/>
      <c r="U42" s="356">
        <f t="shared" si="11"/>
        <v>0</v>
      </c>
    </row>
    <row r="43" ht="90.0" customHeight="1">
      <c r="B43" s="430" t="s">
        <v>527</v>
      </c>
      <c r="C43" s="287"/>
      <c r="D43" s="342">
        <v>1.0</v>
      </c>
      <c r="E43" s="451" t="s">
        <v>528</v>
      </c>
      <c r="F43" s="250" t="s">
        <v>529</v>
      </c>
      <c r="G43" s="345">
        <v>200.0</v>
      </c>
      <c r="H43" s="346"/>
      <c r="I43" s="347"/>
      <c r="J43" s="348"/>
      <c r="K43" s="349"/>
      <c r="L43" s="427"/>
      <c r="M43" s="428"/>
      <c r="N43" s="352"/>
      <c r="O43" s="353"/>
      <c r="P43" s="354"/>
      <c r="Q43" s="429"/>
      <c r="R43" s="342"/>
      <c r="S43" s="342">
        <f t="shared" si="10"/>
        <v>0</v>
      </c>
      <c r="T43" s="342"/>
      <c r="U43" s="356">
        <f t="shared" si="11"/>
        <v>0</v>
      </c>
    </row>
    <row r="44" ht="90.0" customHeight="1">
      <c r="B44" s="430" t="s">
        <v>530</v>
      </c>
      <c r="C44" s="342" t="s">
        <v>531</v>
      </c>
      <c r="D44" s="342">
        <v>1.0</v>
      </c>
      <c r="E44" s="342" t="s">
        <v>532</v>
      </c>
      <c r="F44" s="250" t="s">
        <v>533</v>
      </c>
      <c r="G44" s="345">
        <v>159.0</v>
      </c>
      <c r="H44" s="346"/>
      <c r="I44" s="347"/>
      <c r="J44" s="348"/>
      <c r="K44" s="349"/>
      <c r="L44" s="427"/>
      <c r="M44" s="428"/>
      <c r="N44" s="352"/>
      <c r="O44" s="353"/>
      <c r="P44" s="354"/>
      <c r="Q44" s="429"/>
      <c r="R44" s="342"/>
      <c r="S44" s="342">
        <f t="shared" si="10"/>
        <v>0</v>
      </c>
      <c r="T44" s="342"/>
      <c r="U44" s="356">
        <f t="shared" si="11"/>
        <v>0</v>
      </c>
    </row>
    <row r="45" ht="90.0" customHeight="1">
      <c r="B45" s="430" t="s">
        <v>534</v>
      </c>
      <c r="C45" s="287"/>
      <c r="D45" s="342">
        <v>1.0</v>
      </c>
      <c r="E45" s="342" t="s">
        <v>535</v>
      </c>
      <c r="F45" s="250" t="s">
        <v>536</v>
      </c>
      <c r="G45" s="345">
        <v>158.0</v>
      </c>
      <c r="H45" s="346"/>
      <c r="I45" s="347"/>
      <c r="J45" s="348"/>
      <c r="K45" s="349"/>
      <c r="L45" s="427"/>
      <c r="M45" s="428"/>
      <c r="N45" s="352"/>
      <c r="O45" s="353"/>
      <c r="P45" s="354"/>
      <c r="Q45" s="429"/>
      <c r="R45" s="342"/>
      <c r="S45" s="342">
        <f t="shared" si="10"/>
        <v>0</v>
      </c>
      <c r="T45" s="342"/>
      <c r="U45" s="356">
        <f t="shared" si="11"/>
        <v>0</v>
      </c>
    </row>
    <row r="46" ht="90.0" customHeight="1">
      <c r="B46" s="430" t="s">
        <v>537</v>
      </c>
      <c r="C46" s="287"/>
      <c r="D46" s="342">
        <v>1.0</v>
      </c>
      <c r="E46" s="342"/>
      <c r="F46" s="250" t="s">
        <v>538</v>
      </c>
      <c r="G46" s="345">
        <v>159.0</v>
      </c>
      <c r="H46" s="346"/>
      <c r="I46" s="347"/>
      <c r="J46" s="348"/>
      <c r="K46" s="349"/>
      <c r="L46" s="427"/>
      <c r="M46" s="428"/>
      <c r="N46" s="352"/>
      <c r="O46" s="353"/>
      <c r="P46" s="354"/>
      <c r="Q46" s="429"/>
      <c r="R46" s="342"/>
      <c r="S46" s="342">
        <f t="shared" si="10"/>
        <v>0</v>
      </c>
      <c r="T46" s="342"/>
      <c r="U46" s="356">
        <f t="shared" si="11"/>
        <v>0</v>
      </c>
    </row>
    <row r="47" ht="90.0" customHeight="1">
      <c r="B47" s="430" t="s">
        <v>539</v>
      </c>
      <c r="C47" s="452"/>
      <c r="D47" s="453">
        <v>1.0</v>
      </c>
      <c r="E47" s="453"/>
      <c r="F47" s="255" t="s">
        <v>540</v>
      </c>
      <c r="G47" s="454">
        <v>159.0</v>
      </c>
      <c r="H47" s="455"/>
      <c r="I47" s="456"/>
      <c r="J47" s="457"/>
      <c r="K47" s="458"/>
      <c r="L47" s="459"/>
      <c r="M47" s="460"/>
      <c r="N47" s="461"/>
      <c r="O47" s="462"/>
      <c r="P47" s="463"/>
      <c r="Q47" s="464"/>
      <c r="R47" s="453"/>
      <c r="S47" s="453">
        <f t="shared" si="10"/>
        <v>0</v>
      </c>
      <c r="T47" s="453"/>
      <c r="U47" s="465">
        <f t="shared" si="11"/>
        <v>0</v>
      </c>
    </row>
    <row r="48" ht="15.75" customHeight="1">
      <c r="G48" s="302"/>
      <c r="H48" s="466">
        <f t="shared" ref="H48:U48" si="12">SUM(H7:H47)</f>
        <v>0</v>
      </c>
      <c r="I48" s="466">
        <f t="shared" si="12"/>
        <v>0</v>
      </c>
      <c r="J48" s="466">
        <f t="shared" si="12"/>
        <v>0</v>
      </c>
      <c r="K48" s="466">
        <f t="shared" si="12"/>
        <v>0</v>
      </c>
      <c r="L48" s="466">
        <f t="shared" si="12"/>
        <v>0</v>
      </c>
      <c r="M48" s="466">
        <f t="shared" si="12"/>
        <v>0</v>
      </c>
      <c r="N48" s="466">
        <f t="shared" si="12"/>
        <v>0</v>
      </c>
      <c r="O48" s="466">
        <f t="shared" si="12"/>
        <v>0</v>
      </c>
      <c r="P48" s="466">
        <f t="shared" si="12"/>
        <v>0</v>
      </c>
      <c r="Q48" s="466">
        <f t="shared" si="12"/>
        <v>0</v>
      </c>
      <c r="R48" s="466">
        <f t="shared" si="12"/>
        <v>0</v>
      </c>
      <c r="S48" s="466">
        <f t="shared" si="12"/>
        <v>0</v>
      </c>
      <c r="T48" s="466">
        <f t="shared" si="12"/>
        <v>0</v>
      </c>
      <c r="U48" s="467">
        <f t="shared" si="12"/>
        <v>0</v>
      </c>
    </row>
    <row r="49" ht="15.75" customHeight="1">
      <c r="G49" s="302"/>
    </row>
    <row r="50" ht="15.75" customHeight="1">
      <c r="G50" s="302"/>
    </row>
    <row r="51" ht="15.75" customHeight="1">
      <c r="G51" s="302"/>
    </row>
    <row r="52" ht="15.75" customHeight="1">
      <c r="G52" s="302"/>
    </row>
    <row r="53" ht="15.75" customHeight="1">
      <c r="G53" s="302"/>
    </row>
    <row r="54" ht="15.75" customHeight="1">
      <c r="G54" s="302"/>
    </row>
    <row r="55" ht="15.75" customHeight="1">
      <c r="G55" s="302"/>
    </row>
    <row r="56" ht="15.75" customHeight="1">
      <c r="G56" s="302"/>
    </row>
    <row r="57" ht="15.75" customHeight="1">
      <c r="G57" s="302"/>
    </row>
    <row r="58" ht="15.75" customHeight="1">
      <c r="G58" s="302"/>
    </row>
    <row r="59" ht="15.75" customHeight="1">
      <c r="G59" s="302"/>
    </row>
    <row r="60" ht="15.75" customHeight="1">
      <c r="G60" s="302"/>
    </row>
    <row r="61" ht="15.75" customHeight="1">
      <c r="G61" s="302"/>
    </row>
    <row r="62" ht="15.75" customHeight="1">
      <c r="G62" s="302"/>
    </row>
    <row r="63" ht="15.75" customHeight="1">
      <c r="G63" s="302"/>
    </row>
    <row r="64" ht="15.75" customHeight="1">
      <c r="G64" s="302"/>
    </row>
    <row r="65" ht="15.75" customHeight="1">
      <c r="G65" s="302"/>
    </row>
    <row r="66" ht="15.75" customHeight="1">
      <c r="G66" s="302"/>
    </row>
    <row r="67" ht="15.75" customHeight="1">
      <c r="G67" s="302"/>
    </row>
    <row r="68" ht="15.75" customHeight="1">
      <c r="G68" s="302"/>
    </row>
    <row r="69" ht="15.75" customHeight="1">
      <c r="G69" s="302"/>
    </row>
    <row r="70" ht="15.75" customHeight="1">
      <c r="G70" s="302"/>
    </row>
    <row r="71" ht="15.75" customHeight="1">
      <c r="G71" s="302"/>
    </row>
    <row r="72" ht="15.75" customHeight="1">
      <c r="G72" s="302"/>
    </row>
    <row r="73" ht="15.75" customHeight="1">
      <c r="G73" s="302"/>
    </row>
    <row r="74" ht="15.75" customHeight="1">
      <c r="G74" s="302"/>
    </row>
    <row r="75" ht="15.75" customHeight="1">
      <c r="G75" s="302"/>
    </row>
    <row r="76" ht="15.75" customHeight="1">
      <c r="G76" s="302"/>
    </row>
    <row r="77" ht="15.75" customHeight="1">
      <c r="G77" s="302"/>
    </row>
    <row r="78" ht="15.75" customHeight="1">
      <c r="G78" s="302"/>
    </row>
    <row r="79" ht="15.75" customHeight="1">
      <c r="G79" s="302"/>
    </row>
    <row r="80" ht="15.75" customHeight="1">
      <c r="G80" s="302"/>
    </row>
    <row r="81" ht="15.75" customHeight="1">
      <c r="G81" s="302"/>
    </row>
    <row r="82" ht="15.75" customHeight="1">
      <c r="G82" s="302"/>
    </row>
    <row r="83" ht="15.75" customHeight="1">
      <c r="G83" s="302"/>
    </row>
    <row r="84" ht="15.75" customHeight="1">
      <c r="G84" s="302"/>
    </row>
    <row r="85" ht="15.75" customHeight="1">
      <c r="G85" s="302"/>
    </row>
    <row r="86" ht="15.75" customHeight="1">
      <c r="G86" s="302"/>
    </row>
    <row r="87" ht="15.75" customHeight="1">
      <c r="G87" s="302"/>
    </row>
    <row r="88" ht="15.75" customHeight="1">
      <c r="G88" s="302"/>
    </row>
    <row r="89" ht="15.75" customHeight="1">
      <c r="G89" s="302"/>
    </row>
    <row r="90" ht="15.75" customHeight="1">
      <c r="G90" s="302"/>
    </row>
    <row r="91" ht="15.75" customHeight="1">
      <c r="G91" s="302"/>
    </row>
    <row r="92" ht="15.75" customHeight="1">
      <c r="G92" s="302"/>
    </row>
    <row r="93" ht="15.75" customHeight="1">
      <c r="G93" s="302"/>
    </row>
    <row r="94" ht="15.75" customHeight="1">
      <c r="G94" s="302"/>
    </row>
    <row r="95" ht="15.75" customHeight="1">
      <c r="G95" s="302"/>
    </row>
    <row r="96" ht="15.75" customHeight="1">
      <c r="G96" s="302"/>
    </row>
    <row r="97" ht="15.75" customHeight="1">
      <c r="G97" s="302"/>
    </row>
    <row r="98" ht="15.75" customHeight="1">
      <c r="G98" s="302"/>
    </row>
    <row r="99" ht="15.75" customHeight="1">
      <c r="G99" s="302"/>
    </row>
    <row r="100" ht="15.75" customHeight="1">
      <c r="G100" s="302"/>
    </row>
    <row r="101" ht="15.75" customHeight="1">
      <c r="G101" s="302"/>
    </row>
    <row r="102" ht="15.75" customHeight="1">
      <c r="G102" s="302"/>
    </row>
    <row r="103" ht="15.75" customHeight="1">
      <c r="G103" s="302"/>
    </row>
    <row r="104" ht="15.75" customHeight="1">
      <c r="G104" s="302"/>
    </row>
    <row r="105" ht="15.75" customHeight="1">
      <c r="G105" s="302"/>
    </row>
    <row r="106" ht="15.75" customHeight="1">
      <c r="G106" s="302"/>
    </row>
    <row r="107" ht="15.75" customHeight="1">
      <c r="G107" s="302"/>
    </row>
    <row r="108" ht="15.75" customHeight="1">
      <c r="G108" s="302"/>
    </row>
    <row r="109" ht="15.75" customHeight="1">
      <c r="G109" s="302"/>
    </row>
    <row r="110" ht="15.75" customHeight="1">
      <c r="G110" s="302"/>
    </row>
    <row r="111" ht="15.75" customHeight="1">
      <c r="G111" s="302"/>
    </row>
    <row r="112" ht="15.75" customHeight="1">
      <c r="G112" s="302"/>
    </row>
    <row r="113" ht="15.75" customHeight="1">
      <c r="G113" s="302"/>
    </row>
    <row r="114" ht="15.75" customHeight="1">
      <c r="G114" s="302"/>
    </row>
    <row r="115" ht="15.75" customHeight="1">
      <c r="G115" s="302"/>
    </row>
    <row r="116" ht="15.75" customHeight="1">
      <c r="G116" s="302"/>
    </row>
    <row r="117" ht="15.75" customHeight="1">
      <c r="G117" s="302"/>
    </row>
    <row r="118" ht="15.75" customHeight="1">
      <c r="G118" s="302"/>
    </row>
    <row r="119" ht="15.75" customHeight="1">
      <c r="G119" s="302"/>
    </row>
    <row r="120" ht="15.75" customHeight="1">
      <c r="G120" s="302"/>
    </row>
    <row r="121" ht="15.75" customHeight="1">
      <c r="G121" s="302"/>
    </row>
    <row r="122" ht="15.75" customHeight="1">
      <c r="G122" s="302"/>
    </row>
    <row r="123" ht="15.75" customHeight="1">
      <c r="G123" s="302"/>
    </row>
    <row r="124" ht="15.75" customHeight="1">
      <c r="G124" s="302"/>
    </row>
    <row r="125" ht="15.75" customHeight="1">
      <c r="G125" s="302"/>
    </row>
    <row r="126" ht="15.75" customHeight="1">
      <c r="G126" s="302"/>
    </row>
    <row r="127" ht="15.75" customHeight="1">
      <c r="G127" s="302"/>
    </row>
    <row r="128" ht="15.75" customHeight="1">
      <c r="G128" s="302"/>
    </row>
    <row r="129" ht="15.75" customHeight="1">
      <c r="G129" s="302"/>
    </row>
    <row r="130" ht="15.75" customHeight="1">
      <c r="G130" s="302"/>
    </row>
    <row r="131" ht="15.75" customHeight="1">
      <c r="G131" s="302"/>
    </row>
    <row r="132" ht="15.75" customHeight="1">
      <c r="G132" s="302"/>
    </row>
    <row r="133" ht="15.75" customHeight="1">
      <c r="G133" s="302"/>
    </row>
    <row r="134" ht="15.75" customHeight="1">
      <c r="G134" s="302"/>
    </row>
    <row r="135" ht="15.75" customHeight="1">
      <c r="G135" s="302"/>
    </row>
    <row r="136" ht="15.75" customHeight="1">
      <c r="G136" s="302"/>
    </row>
    <row r="137" ht="15.75" customHeight="1">
      <c r="G137" s="302"/>
    </row>
    <row r="138" ht="15.75" customHeight="1">
      <c r="G138" s="302"/>
    </row>
    <row r="139" ht="15.75" customHeight="1">
      <c r="G139" s="302"/>
    </row>
    <row r="140" ht="15.75" customHeight="1">
      <c r="G140" s="302"/>
    </row>
    <row r="141" ht="15.75" customHeight="1">
      <c r="G141" s="302"/>
    </row>
    <row r="142" ht="15.75" customHeight="1">
      <c r="G142" s="302"/>
    </row>
    <row r="143" ht="15.75" customHeight="1">
      <c r="G143" s="302"/>
    </row>
    <row r="144" ht="15.75" customHeight="1">
      <c r="G144" s="302"/>
    </row>
    <row r="145" ht="15.75" customHeight="1">
      <c r="G145" s="302"/>
    </row>
    <row r="146" ht="15.75" customHeight="1">
      <c r="G146" s="302"/>
    </row>
    <row r="147" ht="15.75" customHeight="1">
      <c r="G147" s="302"/>
    </row>
    <row r="148" ht="15.75" customHeight="1">
      <c r="G148" s="302"/>
    </row>
    <row r="149" ht="15.75" customHeight="1">
      <c r="G149" s="302"/>
    </row>
    <row r="150" ht="15.75" customHeight="1">
      <c r="G150" s="302"/>
    </row>
    <row r="151" ht="15.75" customHeight="1">
      <c r="G151" s="302"/>
    </row>
    <row r="152" ht="15.75" customHeight="1">
      <c r="G152" s="302"/>
    </row>
    <row r="153" ht="15.75" customHeight="1">
      <c r="G153" s="302"/>
    </row>
    <row r="154" ht="15.75" customHeight="1">
      <c r="G154" s="302"/>
    </row>
    <row r="155" ht="15.75" customHeight="1">
      <c r="G155" s="302"/>
    </row>
    <row r="156" ht="15.75" customHeight="1">
      <c r="G156" s="302"/>
    </row>
    <row r="157" ht="15.75" customHeight="1">
      <c r="G157" s="302"/>
    </row>
    <row r="158" ht="15.75" customHeight="1">
      <c r="G158" s="302"/>
    </row>
    <row r="159" ht="15.75" customHeight="1">
      <c r="G159" s="302"/>
    </row>
    <row r="160" ht="15.75" customHeight="1">
      <c r="G160" s="302"/>
    </row>
    <row r="161" ht="15.75" customHeight="1">
      <c r="G161" s="302"/>
    </row>
    <row r="162" ht="15.75" customHeight="1">
      <c r="G162" s="302"/>
    </row>
    <row r="163" ht="15.75" customHeight="1">
      <c r="G163" s="302"/>
    </row>
    <row r="164" ht="15.75" customHeight="1">
      <c r="G164" s="302"/>
    </row>
    <row r="165" ht="15.75" customHeight="1">
      <c r="G165" s="302"/>
    </row>
    <row r="166" ht="15.75" customHeight="1">
      <c r="G166" s="302"/>
    </row>
    <row r="167" ht="15.75" customHeight="1">
      <c r="G167" s="302"/>
    </row>
    <row r="168" ht="15.75" customHeight="1">
      <c r="G168" s="302"/>
    </row>
    <row r="169" ht="15.75" customHeight="1">
      <c r="G169" s="302"/>
    </row>
    <row r="170" ht="15.75" customHeight="1">
      <c r="G170" s="302"/>
    </row>
    <row r="171" ht="15.75" customHeight="1">
      <c r="G171" s="302"/>
    </row>
    <row r="172" ht="15.75" customHeight="1">
      <c r="G172" s="302"/>
    </row>
    <row r="173" ht="15.75" customHeight="1">
      <c r="G173" s="302"/>
    </row>
    <row r="174" ht="15.75" customHeight="1">
      <c r="G174" s="302"/>
    </row>
    <row r="175" ht="15.75" customHeight="1">
      <c r="G175" s="302"/>
    </row>
    <row r="176" ht="15.75" customHeight="1">
      <c r="G176" s="302"/>
    </row>
    <row r="177" ht="15.75" customHeight="1">
      <c r="G177" s="302"/>
    </row>
    <row r="178" ht="15.75" customHeight="1">
      <c r="G178" s="302"/>
    </row>
    <row r="179" ht="15.75" customHeight="1">
      <c r="G179" s="302"/>
    </row>
    <row r="180" ht="15.75" customHeight="1">
      <c r="G180" s="302"/>
    </row>
    <row r="181" ht="15.75" customHeight="1">
      <c r="G181" s="302"/>
    </row>
    <row r="182" ht="15.75" customHeight="1">
      <c r="G182" s="302"/>
    </row>
    <row r="183" ht="15.75" customHeight="1">
      <c r="G183" s="302"/>
    </row>
    <row r="184" ht="15.75" customHeight="1">
      <c r="G184" s="302"/>
    </row>
    <row r="185" ht="15.75" customHeight="1">
      <c r="G185" s="302"/>
    </row>
    <row r="186" ht="15.75" customHeight="1">
      <c r="G186" s="302"/>
    </row>
    <row r="187" ht="15.75" customHeight="1">
      <c r="G187" s="302"/>
    </row>
    <row r="188" ht="15.75" customHeight="1">
      <c r="G188" s="302"/>
    </row>
    <row r="189" ht="15.75" customHeight="1">
      <c r="G189" s="302"/>
    </row>
    <row r="190" ht="15.75" customHeight="1">
      <c r="G190" s="302"/>
    </row>
    <row r="191" ht="15.75" customHeight="1">
      <c r="G191" s="302"/>
    </row>
    <row r="192" ht="15.75" customHeight="1">
      <c r="G192" s="302"/>
    </row>
    <row r="193" ht="15.75" customHeight="1">
      <c r="G193" s="302"/>
    </row>
    <row r="194" ht="15.75" customHeight="1">
      <c r="G194" s="302"/>
    </row>
    <row r="195" ht="15.75" customHeight="1">
      <c r="G195" s="302"/>
    </row>
    <row r="196" ht="15.75" customHeight="1">
      <c r="G196" s="302"/>
    </row>
    <row r="197" ht="15.75" customHeight="1">
      <c r="G197" s="302"/>
    </row>
    <row r="198" ht="15.75" customHeight="1">
      <c r="G198" s="302"/>
    </row>
    <row r="199" ht="15.75" customHeight="1">
      <c r="G199" s="302"/>
    </row>
    <row r="200" ht="15.75" customHeight="1">
      <c r="G200" s="302"/>
    </row>
    <row r="201" ht="15.75" customHeight="1">
      <c r="G201" s="302"/>
    </row>
    <row r="202" ht="15.75" customHeight="1">
      <c r="G202" s="302"/>
    </row>
    <row r="203" ht="15.75" customHeight="1">
      <c r="G203" s="302"/>
    </row>
    <row r="204" ht="15.75" customHeight="1">
      <c r="G204" s="302"/>
    </row>
    <row r="205" ht="15.75" customHeight="1">
      <c r="G205" s="302"/>
    </row>
    <row r="206" ht="15.75" customHeight="1">
      <c r="G206" s="302"/>
    </row>
    <row r="207" ht="15.75" customHeight="1">
      <c r="G207" s="302"/>
    </row>
    <row r="208" ht="15.75" customHeight="1">
      <c r="G208" s="302"/>
    </row>
    <row r="209" ht="15.75" customHeight="1">
      <c r="G209" s="302"/>
    </row>
    <row r="210" ht="15.75" customHeight="1">
      <c r="G210" s="302"/>
    </row>
    <row r="211" ht="15.75" customHeight="1">
      <c r="G211" s="302"/>
    </row>
    <row r="212" ht="15.75" customHeight="1">
      <c r="G212" s="302"/>
    </row>
    <row r="213" ht="15.75" customHeight="1">
      <c r="G213" s="302"/>
    </row>
    <row r="214" ht="15.75" customHeight="1">
      <c r="G214" s="302"/>
    </row>
    <row r="215" ht="15.75" customHeight="1">
      <c r="G215" s="302"/>
    </row>
    <row r="216" ht="15.75" customHeight="1">
      <c r="G216" s="302"/>
    </row>
    <row r="217" ht="15.75" customHeight="1">
      <c r="G217" s="302"/>
    </row>
    <row r="218" ht="15.75" customHeight="1">
      <c r="G218" s="302"/>
    </row>
    <row r="219" ht="15.75" customHeight="1">
      <c r="G219" s="302"/>
    </row>
    <row r="220" ht="15.75" customHeight="1">
      <c r="G220" s="302"/>
    </row>
    <row r="221" ht="15.75" customHeight="1">
      <c r="G221" s="302"/>
    </row>
    <row r="222" ht="15.75" customHeight="1">
      <c r="G222" s="302"/>
    </row>
    <row r="223" ht="15.75" customHeight="1">
      <c r="G223" s="302"/>
    </row>
    <row r="224" ht="15.75" customHeight="1">
      <c r="G224" s="302"/>
    </row>
    <row r="225" ht="15.75" customHeight="1">
      <c r="G225" s="302"/>
    </row>
    <row r="226" ht="15.75" customHeight="1">
      <c r="G226" s="302"/>
    </row>
    <row r="227" ht="15.75" customHeight="1">
      <c r="G227" s="302"/>
    </row>
    <row r="228" ht="15.75" customHeight="1">
      <c r="G228" s="302"/>
    </row>
    <row r="229" ht="15.75" customHeight="1">
      <c r="G229" s="302"/>
    </row>
    <row r="230" ht="15.75" customHeight="1">
      <c r="G230" s="302"/>
    </row>
    <row r="231" ht="15.75" customHeight="1">
      <c r="G231" s="302"/>
    </row>
    <row r="232" ht="15.75" customHeight="1">
      <c r="G232" s="302"/>
    </row>
    <row r="233" ht="15.75" customHeight="1">
      <c r="G233" s="302"/>
    </row>
    <row r="234" ht="15.75" customHeight="1">
      <c r="G234" s="302"/>
    </row>
    <row r="235" ht="15.75" customHeight="1">
      <c r="G235" s="302"/>
    </row>
    <row r="236" ht="15.75" customHeight="1">
      <c r="G236" s="302"/>
    </row>
    <row r="237" ht="15.75" customHeight="1">
      <c r="G237" s="302"/>
    </row>
    <row r="238" ht="15.75" customHeight="1">
      <c r="G238" s="302"/>
    </row>
    <row r="239" ht="15.75" customHeight="1">
      <c r="G239" s="302"/>
    </row>
    <row r="240" ht="15.75" customHeight="1">
      <c r="G240" s="302"/>
    </row>
    <row r="241" ht="15.75" customHeight="1">
      <c r="G241" s="302"/>
    </row>
    <row r="242" ht="15.75" customHeight="1">
      <c r="G242" s="302"/>
    </row>
    <row r="243" ht="15.75" customHeight="1">
      <c r="G243" s="302"/>
    </row>
    <row r="244" ht="15.75" customHeight="1">
      <c r="G244" s="302"/>
    </row>
    <row r="245" ht="15.75" customHeight="1">
      <c r="G245" s="302"/>
    </row>
    <row r="246" ht="15.75" customHeight="1">
      <c r="G246" s="302"/>
    </row>
    <row r="247" ht="15.75" customHeight="1">
      <c r="G247" s="302"/>
    </row>
    <row r="248" ht="15.75" customHeight="1">
      <c r="G248" s="302"/>
    </row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G2:O3"/>
    <mergeCell ref="B15:C15"/>
    <mergeCell ref="B29:C29"/>
  </mergeCells>
  <printOptions/>
  <pageMargins bottom="0.75" footer="0.0" header="0.0" left="0.7" right="0.7" top="0.75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66FF"/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28.86"/>
    <col customWidth="1" min="3" max="19" width="9.14"/>
    <col customWidth="1" min="20" max="20" width="12.14"/>
    <col customWidth="1" min="21" max="21" width="9.14"/>
    <col customWidth="1" min="22" max="22" width="23.43"/>
  </cols>
  <sheetData>
    <row r="3">
      <c r="B3" s="468" t="s">
        <v>541</v>
      </c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70"/>
    </row>
    <row r="4">
      <c r="B4" s="471" t="s">
        <v>542</v>
      </c>
      <c r="C4" s="472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472"/>
      <c r="O4" s="472"/>
      <c r="P4" s="472"/>
      <c r="Q4" s="472"/>
      <c r="R4" s="472"/>
      <c r="S4" s="472"/>
      <c r="T4" s="472"/>
      <c r="U4" s="472"/>
      <c r="V4" s="473"/>
    </row>
    <row r="5">
      <c r="B5" s="474" t="s">
        <v>543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8"/>
    </row>
    <row r="6" ht="18.0" customHeight="1">
      <c r="D6" s="214"/>
      <c r="E6" s="214"/>
      <c r="F6" s="214"/>
      <c r="G6" s="475"/>
      <c r="H6" s="214"/>
      <c r="I6" s="214"/>
      <c r="J6" s="214"/>
      <c r="K6" s="214"/>
      <c r="L6" s="214"/>
      <c r="M6" s="214"/>
      <c r="N6" s="214"/>
      <c r="O6" s="214" t="s">
        <v>544</v>
      </c>
      <c r="P6" s="214" t="s">
        <v>545</v>
      </c>
      <c r="Q6" s="392"/>
      <c r="R6" s="392"/>
      <c r="S6" s="392"/>
      <c r="T6" s="392"/>
      <c r="V6" s="476" t="s">
        <v>546</v>
      </c>
    </row>
    <row r="7">
      <c r="B7" s="477" t="s">
        <v>204</v>
      </c>
      <c r="D7" s="478">
        <f>ECLIPSE!G24</f>
        <v>0</v>
      </c>
      <c r="E7" s="479">
        <f>ECLIPSE!H24</f>
        <v>0</v>
      </c>
      <c r="F7" s="480">
        <f>ECLIPSE!I24</f>
        <v>0</v>
      </c>
      <c r="G7" s="481">
        <f>ECLIPSE!J24</f>
        <v>0</v>
      </c>
      <c r="H7" s="482">
        <f>ECLIPSE!K24</f>
        <v>0</v>
      </c>
      <c r="I7" s="483">
        <f>ECLIPSE!L24</f>
        <v>0</v>
      </c>
      <c r="J7" s="484">
        <f>ECLIPSE!M24</f>
        <v>0</v>
      </c>
      <c r="K7" s="485">
        <f>ECLIPSE!N24</f>
        <v>0</v>
      </c>
      <c r="L7" s="486">
        <f>ECLIPSE!O24</f>
        <v>0</v>
      </c>
      <c r="M7" s="487">
        <f>ECLIPSE!P24</f>
        <v>0</v>
      </c>
      <c r="N7" s="488">
        <f>ECLIPSE!Q24</f>
        <v>0</v>
      </c>
      <c r="O7" s="489">
        <f>ECLIPSE!R24</f>
        <v>0</v>
      </c>
      <c r="P7" s="123">
        <f>ECLIPSE!S24</f>
        <v>0</v>
      </c>
      <c r="Q7" s="490">
        <f>ECLIPSE!T24</f>
        <v>0</v>
      </c>
      <c r="R7" s="490">
        <f>ECLIPSE!U24</f>
        <v>0</v>
      </c>
      <c r="S7" s="490">
        <f>ECLIPSE!V24</f>
        <v>0</v>
      </c>
      <c r="T7" s="491">
        <f>ECLIPSE!W24</f>
        <v>0</v>
      </c>
      <c r="V7" s="492"/>
    </row>
    <row r="8">
      <c r="C8" s="110"/>
      <c r="D8" s="214"/>
      <c r="E8" s="214"/>
      <c r="F8" s="214"/>
      <c r="G8" s="475"/>
      <c r="H8" s="214"/>
      <c r="I8" s="214"/>
      <c r="J8" s="214"/>
      <c r="K8" s="214"/>
      <c r="L8" s="214"/>
      <c r="M8" s="214"/>
      <c r="N8" s="214"/>
      <c r="O8" s="214"/>
      <c r="P8" s="475"/>
      <c r="Q8" s="214"/>
      <c r="R8" s="392"/>
      <c r="S8" s="392"/>
      <c r="T8" s="209"/>
    </row>
    <row r="9">
      <c r="B9" s="477" t="s">
        <v>244</v>
      </c>
      <c r="D9" s="478">
        <f>ECLIPSE!G39</f>
        <v>0</v>
      </c>
      <c r="E9" s="479">
        <f>ECLIPSE!H39</f>
        <v>0</v>
      </c>
      <c r="F9" s="480">
        <f>ECLIPSE!I39</f>
        <v>0</v>
      </c>
      <c r="G9" s="481">
        <f>ECLIPSE!J39</f>
        <v>0</v>
      </c>
      <c r="H9" s="482">
        <f>ECLIPSE!K39</f>
        <v>0</v>
      </c>
      <c r="I9" s="483">
        <f>ECLIPSE!L39</f>
        <v>0</v>
      </c>
      <c r="J9" s="484">
        <f>ECLIPSE!M39</f>
        <v>0</v>
      </c>
      <c r="K9" s="485">
        <f>ECLIPSE!N39</f>
        <v>0</v>
      </c>
      <c r="L9" s="486">
        <f>ECLIPSE!O39</f>
        <v>0</v>
      </c>
      <c r="M9" s="487">
        <f>ECLIPSE!P39</f>
        <v>0</v>
      </c>
      <c r="N9" s="488">
        <f>ECLIPSE!Q39</f>
        <v>0</v>
      </c>
      <c r="O9" s="489">
        <f>ECLIPSE!R39</f>
        <v>0</v>
      </c>
      <c r="P9" s="123">
        <f>ECLIPSE!S39</f>
        <v>0</v>
      </c>
      <c r="Q9" s="490">
        <f>ECLIPSE!T39</f>
        <v>0</v>
      </c>
      <c r="R9" s="490">
        <f>ECLIPSE!U39</f>
        <v>0</v>
      </c>
      <c r="S9" s="490">
        <f>ECLIPSE!V39</f>
        <v>0</v>
      </c>
      <c r="T9" s="491">
        <f>ECLIPSE!W39</f>
        <v>0</v>
      </c>
      <c r="V9" s="493" t="s">
        <v>547</v>
      </c>
    </row>
    <row r="10">
      <c r="C10" s="110"/>
      <c r="D10" s="214"/>
      <c r="E10" s="214"/>
      <c r="F10" s="214"/>
      <c r="G10" s="475"/>
      <c r="H10" s="214"/>
      <c r="I10" s="214"/>
      <c r="J10" s="214"/>
      <c r="K10" s="214"/>
      <c r="L10" s="214"/>
      <c r="M10" s="214"/>
      <c r="N10" s="214"/>
      <c r="O10" s="214"/>
      <c r="P10" s="475"/>
      <c r="Q10" s="214"/>
      <c r="R10" s="392"/>
      <c r="S10" s="392"/>
      <c r="T10" s="209"/>
      <c r="V10" s="494" t="s">
        <v>548</v>
      </c>
    </row>
    <row r="11">
      <c r="B11" s="477" t="s">
        <v>316</v>
      </c>
      <c r="C11" s="110"/>
      <c r="D11" s="478">
        <f>COMMAS!G17</f>
        <v>0</v>
      </c>
      <c r="E11" s="479">
        <f>COMMAS!H17</f>
        <v>0</v>
      </c>
      <c r="F11" s="480">
        <f>COMMAS!I17</f>
        <v>0</v>
      </c>
      <c r="G11" s="481">
        <f>COMMAS!J17</f>
        <v>0</v>
      </c>
      <c r="H11" s="482">
        <f>COMMAS!K17</f>
        <v>0</v>
      </c>
      <c r="I11" s="483">
        <f>COMMAS!L17</f>
        <v>0</v>
      </c>
      <c r="J11" s="484">
        <f>COMMAS!M17</f>
        <v>0</v>
      </c>
      <c r="K11" s="485">
        <f>COMMAS!N17</f>
        <v>0</v>
      </c>
      <c r="L11" s="486">
        <f>COMMAS!O17</f>
        <v>0</v>
      </c>
      <c r="M11" s="487">
        <f>COMMAS!P17</f>
        <v>0</v>
      </c>
      <c r="N11" s="488">
        <f>COMMAS!Q17</f>
        <v>0</v>
      </c>
      <c r="O11" s="489">
        <f>COMMAS!R17</f>
        <v>0</v>
      </c>
      <c r="P11" s="495">
        <f>COMMAS!S17</f>
        <v>0</v>
      </c>
      <c r="Q11" s="489">
        <f>COMMAS!T17</f>
        <v>0</v>
      </c>
      <c r="R11" s="496">
        <f>COMMAS!U17</f>
        <v>0</v>
      </c>
      <c r="S11" s="496">
        <f>COMMAS!V17</f>
        <v>0</v>
      </c>
      <c r="T11" s="497">
        <f>COMMAS!W17</f>
        <v>0</v>
      </c>
      <c r="V11" s="498" t="s">
        <v>549</v>
      </c>
    </row>
    <row r="12">
      <c r="C12" s="110"/>
      <c r="D12" s="214"/>
      <c r="E12" s="214"/>
      <c r="F12" s="214"/>
      <c r="G12" s="475"/>
      <c r="H12" s="214"/>
      <c r="I12" s="214"/>
      <c r="J12" s="214"/>
      <c r="K12" s="214"/>
      <c r="L12" s="214"/>
      <c r="M12" s="214"/>
      <c r="N12" s="214"/>
      <c r="O12" s="214"/>
      <c r="P12" s="475"/>
      <c r="Q12" s="214"/>
      <c r="R12" s="392"/>
      <c r="S12" s="392"/>
      <c r="T12" s="209"/>
      <c r="V12" s="499" t="s">
        <v>550</v>
      </c>
    </row>
    <row r="13">
      <c r="B13" s="477" t="s">
        <v>265</v>
      </c>
      <c r="D13" s="478">
        <f>DRIFTS!G34</f>
        <v>0</v>
      </c>
      <c r="E13" s="479">
        <f>DRIFTS!H34</f>
        <v>0</v>
      </c>
      <c r="F13" s="480">
        <f>DRIFTS!I34</f>
        <v>0</v>
      </c>
      <c r="G13" s="481">
        <f>DRIFTS!J34</f>
        <v>0</v>
      </c>
      <c r="H13" s="482">
        <f>DRIFTS!K34</f>
        <v>0</v>
      </c>
      <c r="I13" s="483">
        <f>DRIFTS!L34</f>
        <v>0</v>
      </c>
      <c r="J13" s="484">
        <f>DRIFTS!M34</f>
        <v>0</v>
      </c>
      <c r="K13" s="485">
        <f>DRIFTS!N34</f>
        <v>0</v>
      </c>
      <c r="L13" s="486">
        <f>DRIFTS!O34</f>
        <v>0</v>
      </c>
      <c r="M13" s="487">
        <f>DRIFTS!P34</f>
        <v>0</v>
      </c>
      <c r="N13" s="488">
        <f>DRIFTS!Q34</f>
        <v>0</v>
      </c>
      <c r="O13" s="489">
        <f>DRIFTS!R34</f>
        <v>0</v>
      </c>
      <c r="P13" s="123">
        <f>DRIFTS!S34</f>
        <v>0</v>
      </c>
      <c r="Q13" s="490">
        <f>DRIFTS!T34</f>
        <v>0</v>
      </c>
      <c r="R13" s="490">
        <f>DRIFTS!U34</f>
        <v>0</v>
      </c>
      <c r="S13" s="490">
        <f>DRIFTS!V34</f>
        <v>0</v>
      </c>
      <c r="T13" s="491">
        <f>DRIFTS!W34</f>
        <v>0</v>
      </c>
      <c r="V13" s="500" t="s">
        <v>551</v>
      </c>
    </row>
    <row r="14">
      <c r="C14" s="110"/>
      <c r="D14" s="214"/>
      <c r="E14" s="214"/>
      <c r="F14" s="214"/>
      <c r="G14" s="475"/>
      <c r="H14" s="214"/>
      <c r="I14" s="214"/>
      <c r="J14" s="214"/>
      <c r="K14" s="214"/>
      <c r="L14" s="214"/>
      <c r="M14" s="214"/>
      <c r="N14" s="214"/>
      <c r="O14" s="214"/>
      <c r="P14" s="475"/>
      <c r="Q14" s="214"/>
      <c r="R14" s="392"/>
      <c r="S14" s="392"/>
      <c r="T14" s="209"/>
      <c r="V14" s="501" t="s">
        <v>552</v>
      </c>
    </row>
    <row r="15">
      <c r="B15" s="477" t="s">
        <v>0</v>
      </c>
      <c r="D15" s="478">
        <f>LOAVES!G29</f>
        <v>0</v>
      </c>
      <c r="E15" s="479">
        <f>LOAVES!H29</f>
        <v>0</v>
      </c>
      <c r="F15" s="480">
        <f>LOAVES!I29</f>
        <v>0</v>
      </c>
      <c r="G15" s="481">
        <f>LOAVES!J29</f>
        <v>0</v>
      </c>
      <c r="H15" s="482">
        <f>LOAVES!K29</f>
        <v>0</v>
      </c>
      <c r="I15" s="483">
        <f>LOAVES!L29</f>
        <v>0</v>
      </c>
      <c r="J15" s="484">
        <f>LOAVES!M29</f>
        <v>0</v>
      </c>
      <c r="K15" s="485">
        <f>LOAVES!N29</f>
        <v>0</v>
      </c>
      <c r="L15" s="486">
        <f>LOAVES!O29</f>
        <v>0</v>
      </c>
      <c r="M15" s="487">
        <f>LOAVES!P29</f>
        <v>0</v>
      </c>
      <c r="N15" s="488">
        <f>LOAVES!Q29</f>
        <v>0</v>
      </c>
      <c r="O15" s="489">
        <f>LOAVES!R29</f>
        <v>0</v>
      </c>
      <c r="P15" s="123">
        <f>LOAVES!S29</f>
        <v>0</v>
      </c>
      <c r="Q15" s="490">
        <f>LOAVES!T29</f>
        <v>0</v>
      </c>
      <c r="R15" s="490">
        <f>LOAVES!U29</f>
        <v>0</v>
      </c>
      <c r="S15" s="490">
        <f>LOAVES!V29</f>
        <v>0</v>
      </c>
      <c r="T15" s="491">
        <f>LOAVES!W29</f>
        <v>0</v>
      </c>
      <c r="V15" s="502" t="s">
        <v>553</v>
      </c>
    </row>
    <row r="16">
      <c r="C16" s="110"/>
      <c r="D16" s="214"/>
      <c r="E16" s="214"/>
      <c r="F16" s="214"/>
      <c r="G16" s="475"/>
      <c r="H16" s="214"/>
      <c r="I16" s="214"/>
      <c r="J16" s="214"/>
      <c r="K16" s="214"/>
      <c r="L16" s="214"/>
      <c r="M16" s="214"/>
      <c r="N16" s="214"/>
      <c r="O16" s="214"/>
      <c r="P16" s="475"/>
      <c r="Q16" s="214"/>
      <c r="R16" s="392"/>
      <c r="S16" s="392"/>
      <c r="T16" s="209"/>
      <c r="V16" s="503" t="s">
        <v>554</v>
      </c>
    </row>
    <row r="17">
      <c r="B17" s="477" t="s">
        <v>70</v>
      </c>
      <c r="D17" s="478">
        <f>ROUGHLINE!G36</f>
        <v>0</v>
      </c>
      <c r="E17" s="479">
        <f>ROUGHLINE!H36</f>
        <v>0</v>
      </c>
      <c r="F17" s="480">
        <f>ROUGHLINE!I36</f>
        <v>0</v>
      </c>
      <c r="G17" s="481">
        <f>ROUGHLINE!J36</f>
        <v>0</v>
      </c>
      <c r="H17" s="482">
        <f>ROUGHLINE!K36</f>
        <v>0</v>
      </c>
      <c r="I17" s="483">
        <f>ROUGHLINE!L36</f>
        <v>0</v>
      </c>
      <c r="J17" s="484">
        <f>ROUGHLINE!M36</f>
        <v>0</v>
      </c>
      <c r="K17" s="485">
        <f>ROUGHLINE!N36</f>
        <v>0</v>
      </c>
      <c r="L17" s="486">
        <f>ROUGHLINE!O36</f>
        <v>0</v>
      </c>
      <c r="M17" s="487">
        <f>ROUGHLINE!P36</f>
        <v>0</v>
      </c>
      <c r="N17" s="488">
        <f>ROUGHLINE!Q36</f>
        <v>0</v>
      </c>
      <c r="O17" s="489">
        <f>ROUGHLINE!R36</f>
        <v>0</v>
      </c>
      <c r="P17" s="123">
        <f>ROUGHLINE!S36</f>
        <v>0</v>
      </c>
      <c r="Q17" s="490">
        <f>ROUGHLINE!T36</f>
        <v>0</v>
      </c>
      <c r="R17" s="490">
        <f>ROUGHLINE!U36</f>
        <v>0</v>
      </c>
      <c r="S17" s="490">
        <f>ROUGHLINE!V36</f>
        <v>0</v>
      </c>
      <c r="T17" s="491">
        <f>ROUGHLINE!W36</f>
        <v>0</v>
      </c>
      <c r="V17" s="504" t="s">
        <v>555</v>
      </c>
    </row>
    <row r="18">
      <c r="C18" s="110"/>
      <c r="D18" s="214"/>
      <c r="E18" s="214"/>
      <c r="F18" s="214"/>
      <c r="G18" s="475"/>
      <c r="H18" s="214"/>
      <c r="I18" s="214"/>
      <c r="J18" s="214"/>
      <c r="K18" s="214"/>
      <c r="L18" s="214"/>
      <c r="M18" s="214"/>
      <c r="N18" s="214"/>
      <c r="O18" s="214"/>
      <c r="P18" s="475"/>
      <c r="Q18" s="214"/>
      <c r="R18" s="392"/>
      <c r="S18" s="392"/>
      <c r="T18" s="209"/>
      <c r="V18" s="505" t="s">
        <v>556</v>
      </c>
    </row>
    <row r="19">
      <c r="B19" s="477" t="s">
        <v>557</v>
      </c>
      <c r="D19" s="478">
        <f>SMOOTHLINE!G19</f>
        <v>0</v>
      </c>
      <c r="E19" s="479">
        <f>SMOOTHLINE!H19</f>
        <v>0</v>
      </c>
      <c r="F19" s="480">
        <f>SMOOTHLINE!I19</f>
        <v>0</v>
      </c>
      <c r="G19" s="481">
        <f>SMOOTHLINE!J19</f>
        <v>0</v>
      </c>
      <c r="H19" s="482">
        <f>SMOOTHLINE!K19</f>
        <v>0</v>
      </c>
      <c r="I19" s="483">
        <f>SMOOTHLINE!L19</f>
        <v>0</v>
      </c>
      <c r="J19" s="484">
        <f>SMOOTHLINE!M19</f>
        <v>0</v>
      </c>
      <c r="K19" s="485">
        <f>SMOOTHLINE!N19</f>
        <v>0</v>
      </c>
      <c r="L19" s="486">
        <f>SMOOTHLINE!O19</f>
        <v>0</v>
      </c>
      <c r="M19" s="487">
        <f>SMOOTHLINE!P19</f>
        <v>0</v>
      </c>
      <c r="N19" s="488">
        <f>SMOOTHLINE!Q19</f>
        <v>0</v>
      </c>
      <c r="O19" s="489">
        <f>SMOOTHLINE!R19</f>
        <v>0</v>
      </c>
      <c r="P19" s="123">
        <f>SMOOTHLINE!S19</f>
        <v>0</v>
      </c>
      <c r="Q19" s="490">
        <f>SMOOTHLINE!T19</f>
        <v>0</v>
      </c>
      <c r="R19" s="490">
        <f>SMOOTHLINE!U19</f>
        <v>0</v>
      </c>
      <c r="S19" s="490">
        <f>SMOOTHLINE!V19</f>
        <v>0</v>
      </c>
      <c r="T19" s="491">
        <f>SMOOTHLINE!W19</f>
        <v>0</v>
      </c>
      <c r="V19" s="506" t="s">
        <v>558</v>
      </c>
    </row>
    <row r="20">
      <c r="C20" s="110"/>
      <c r="D20" s="214"/>
      <c r="E20" s="214"/>
      <c r="F20" s="214"/>
      <c r="G20" s="475"/>
      <c r="H20" s="214"/>
      <c r="I20" s="214"/>
      <c r="J20" s="214"/>
      <c r="K20" s="214"/>
      <c r="L20" s="214"/>
      <c r="M20" s="214"/>
      <c r="N20" s="214"/>
      <c r="O20" s="214"/>
      <c r="P20" s="475"/>
      <c r="Q20" s="214"/>
      <c r="R20" s="392"/>
      <c r="S20" s="392"/>
      <c r="T20" s="209"/>
      <c r="V20" s="507" t="s">
        <v>559</v>
      </c>
    </row>
    <row r="21" ht="15.75" customHeight="1">
      <c r="B21" s="508" t="s">
        <v>560</v>
      </c>
      <c r="D21" s="478">
        <f>SMOOTHLINE!G49</f>
        <v>0</v>
      </c>
      <c r="E21" s="479">
        <f>SMOOTHLINE!H49</f>
        <v>0</v>
      </c>
      <c r="F21" s="480">
        <f>SMOOTHLINE!I49</f>
        <v>0</v>
      </c>
      <c r="G21" s="481">
        <f>SMOOTHLINE!J49</f>
        <v>0</v>
      </c>
      <c r="H21" s="482">
        <f>SMOOTHLINE!K49</f>
        <v>0</v>
      </c>
      <c r="I21" s="483">
        <f>SMOOTHLINE!L49</f>
        <v>0</v>
      </c>
      <c r="J21" s="484">
        <f>SMOOTHLINE!M49</f>
        <v>0</v>
      </c>
      <c r="K21" s="485">
        <f>SMOOTHLINE!N49</f>
        <v>0</v>
      </c>
      <c r="L21" s="486">
        <f>SMOOTHLINE!O49</f>
        <v>0</v>
      </c>
      <c r="M21" s="487">
        <f>SMOOTHLINE!P49</f>
        <v>0</v>
      </c>
      <c r="N21" s="488">
        <f>SMOOTHLINE!Q49</f>
        <v>0</v>
      </c>
      <c r="O21" s="489">
        <f>SMOOTHLINE!R49</f>
        <v>0</v>
      </c>
      <c r="P21" s="123">
        <f>SMOOTHLINE!S49</f>
        <v>0</v>
      </c>
      <c r="Q21" s="490">
        <f>SMOOTHLINE!T49</f>
        <v>0</v>
      </c>
      <c r="R21" s="490">
        <f>SMOOTHLINE!U49</f>
        <v>0</v>
      </c>
      <c r="S21" s="490">
        <f>SMOOTHLINE!V49</f>
        <v>0</v>
      </c>
      <c r="T21" s="491">
        <f>SMOOTHLINE!W49</f>
        <v>0</v>
      </c>
      <c r="V21" s="509" t="s">
        <v>561</v>
      </c>
    </row>
    <row r="22" ht="15.75" customHeight="1">
      <c r="B22" s="510"/>
      <c r="D22" s="214"/>
      <c r="E22" s="214"/>
      <c r="F22" s="214"/>
      <c r="G22" s="475"/>
      <c r="H22" s="214"/>
      <c r="I22" s="214"/>
      <c r="J22" s="214"/>
      <c r="K22" s="214"/>
      <c r="L22" s="214"/>
      <c r="M22" s="214"/>
      <c r="N22" s="214"/>
      <c r="O22" s="214"/>
      <c r="P22" s="475"/>
      <c r="Q22" s="392"/>
      <c r="R22" s="392"/>
      <c r="S22" s="392"/>
      <c r="T22" s="209"/>
      <c r="V22" s="241"/>
    </row>
    <row r="23" ht="15.75" customHeight="1">
      <c r="B23" s="508" t="s">
        <v>562</v>
      </c>
      <c r="D23" s="112">
        <f>'Fiber Full text'!H48</f>
        <v>0</v>
      </c>
      <c r="E23" s="479">
        <f>'Fiber Full text'!I48</f>
        <v>0</v>
      </c>
      <c r="F23" s="480">
        <f>'Fiber Full text'!J48</f>
        <v>0</v>
      </c>
      <c r="G23" s="481">
        <f>'Fiber Full text'!K48</f>
        <v>0</v>
      </c>
      <c r="H23" s="482">
        <f>'Fiber Full text'!L48</f>
        <v>0</v>
      </c>
      <c r="I23" s="483">
        <f>'Fiber Full text'!M48</f>
        <v>0</v>
      </c>
      <c r="J23" s="484">
        <f>'Fiber Full text'!N48</f>
        <v>0</v>
      </c>
      <c r="K23" s="485">
        <f>'Fiber Full text'!O48</f>
        <v>0</v>
      </c>
      <c r="L23" s="32" t="s">
        <v>563</v>
      </c>
      <c r="M23" s="32" t="s">
        <v>563</v>
      </c>
      <c r="N23" s="488">
        <f>'Fiber Full text'!R48</f>
        <v>0</v>
      </c>
      <c r="O23" s="489">
        <f>'Fiber Full text'!S48</f>
        <v>0</v>
      </c>
      <c r="P23" s="511">
        <f>'Fiber Full text'!T48</f>
        <v>0</v>
      </c>
      <c r="Q23" s="490">
        <f>'Fiber Full text'!S48</f>
        <v>0</v>
      </c>
      <c r="R23" s="490">
        <f>'Fiber Full text'!S48</f>
        <v>0</v>
      </c>
      <c r="S23" s="490" t="str">
        <f>'Fiber Full text'!W48</f>
        <v/>
      </c>
      <c r="T23" s="491">
        <f>'Fiber Full text'!U48</f>
        <v>0</v>
      </c>
      <c r="V23" s="241"/>
    </row>
    <row r="24" ht="15.75" customHeight="1">
      <c r="B24" s="510"/>
      <c r="C24" s="110"/>
      <c r="D24" s="214"/>
      <c r="E24" s="214"/>
      <c r="F24" s="214"/>
      <c r="G24" s="475"/>
      <c r="H24" s="214"/>
      <c r="I24" s="214"/>
      <c r="J24" s="214"/>
      <c r="K24" s="214"/>
      <c r="L24" s="214"/>
      <c r="M24" s="214"/>
      <c r="N24" s="214"/>
      <c r="O24" s="214"/>
      <c r="P24" s="475"/>
      <c r="Q24" s="392"/>
      <c r="R24" s="392"/>
      <c r="S24" s="392"/>
      <c r="T24" s="209"/>
    </row>
    <row r="25" ht="15.75" customHeight="1">
      <c r="B25" s="477" t="s">
        <v>564</v>
      </c>
      <c r="D25" s="112">
        <f>'Fiber DT COMMAS'!H44</f>
        <v>0</v>
      </c>
      <c r="E25" s="113">
        <f>'Fiber DT COMMAS'!I44</f>
        <v>0</v>
      </c>
      <c r="F25" s="512">
        <f>'Fiber DT COMMAS'!J44</f>
        <v>0</v>
      </c>
      <c r="G25" s="115">
        <f>'Fiber DT COMMAS'!K44</f>
        <v>0</v>
      </c>
      <c r="H25" s="513">
        <f>'Fiber DT COMMAS'!L44</f>
        <v>0</v>
      </c>
      <c r="I25" s="117">
        <f>'Fiber DT COMMAS'!M44</f>
        <v>0</v>
      </c>
      <c r="J25" s="118">
        <f>'Fiber DT COMMAS'!N44</f>
        <v>0</v>
      </c>
      <c r="K25" s="119">
        <f>'Fiber DT COMMAS'!O44</f>
        <v>0</v>
      </c>
      <c r="L25" s="32" t="s">
        <v>563</v>
      </c>
      <c r="M25" s="32" t="s">
        <v>563</v>
      </c>
      <c r="N25" s="122">
        <f>'Fiber DT COMMAS'!Q44</f>
        <v>0</v>
      </c>
      <c r="O25" s="32">
        <f>'Fiber DT COMMAS'!R44</f>
        <v>0</v>
      </c>
      <c r="P25" s="123">
        <f>'Fiber DT COMMAS'!P44</f>
        <v>0</v>
      </c>
      <c r="Q25" s="32">
        <f>'Fiber DT COMMAS'!S44</f>
        <v>0</v>
      </c>
      <c r="R25" s="32">
        <f>'Fiber DT COMMAS'!S44</f>
        <v>0</v>
      </c>
      <c r="S25" s="32">
        <f>'Fiber DT COMMAS'!T44</f>
        <v>0</v>
      </c>
      <c r="T25" s="164">
        <f>'Fiber DT COMMAS'!U44</f>
        <v>0</v>
      </c>
    </row>
    <row r="26" ht="15.75" customHeight="1">
      <c r="C26" s="110"/>
      <c r="D26" s="214"/>
      <c r="E26" s="214"/>
      <c r="F26" s="214"/>
      <c r="G26" s="475"/>
      <c r="H26" s="214"/>
      <c r="I26" s="214"/>
      <c r="J26" s="214"/>
      <c r="K26" s="214"/>
      <c r="L26" s="214"/>
      <c r="M26" s="214"/>
      <c r="N26" s="214"/>
      <c r="O26" s="214"/>
      <c r="P26" s="475"/>
      <c r="Q26" s="214"/>
      <c r="R26" s="392"/>
      <c r="S26" s="392"/>
      <c r="T26" s="514"/>
    </row>
    <row r="27" ht="15.75" customHeight="1">
      <c r="B27" s="477" t="s">
        <v>565</v>
      </c>
      <c r="D27" s="478">
        <f t="shared" ref="D27:P27" si="1">SUM(D7:D21)</f>
        <v>0</v>
      </c>
      <c r="E27" s="479">
        <f t="shared" si="1"/>
        <v>0</v>
      </c>
      <c r="F27" s="480">
        <f t="shared" si="1"/>
        <v>0</v>
      </c>
      <c r="G27" s="481">
        <f t="shared" si="1"/>
        <v>0</v>
      </c>
      <c r="H27" s="482">
        <f t="shared" si="1"/>
        <v>0</v>
      </c>
      <c r="I27" s="483">
        <f t="shared" si="1"/>
        <v>0</v>
      </c>
      <c r="J27" s="484">
        <f t="shared" si="1"/>
        <v>0</v>
      </c>
      <c r="K27" s="485">
        <f t="shared" si="1"/>
        <v>0</v>
      </c>
      <c r="L27" s="486">
        <f t="shared" si="1"/>
        <v>0</v>
      </c>
      <c r="M27" s="487">
        <f t="shared" si="1"/>
        <v>0</v>
      </c>
      <c r="N27" s="488">
        <f t="shared" si="1"/>
        <v>0</v>
      </c>
      <c r="O27" s="489">
        <f t="shared" si="1"/>
        <v>0</v>
      </c>
      <c r="P27" s="515">
        <f t="shared" si="1"/>
        <v>0</v>
      </c>
      <c r="Q27" s="392"/>
      <c r="R27" s="392"/>
      <c r="S27" s="392"/>
      <c r="T27" s="514"/>
    </row>
    <row r="28" ht="15.75" customHeight="1">
      <c r="G28" s="212"/>
    </row>
    <row r="29" ht="15.75" customHeight="1">
      <c r="B29" s="516" t="s">
        <v>566</v>
      </c>
      <c r="D29" s="517" t="s">
        <v>567</v>
      </c>
      <c r="E29" s="469"/>
      <c r="F29" s="470"/>
      <c r="G29" s="518"/>
      <c r="H29" s="469"/>
      <c r="I29" s="469"/>
      <c r="J29" s="469"/>
      <c r="K29" s="469"/>
      <c r="L29" s="469"/>
      <c r="M29" s="470"/>
      <c r="O29" s="519" t="s">
        <v>568</v>
      </c>
      <c r="P29" s="520"/>
      <c r="Q29" s="433">
        <f>SUM(Q7:Q25)</f>
        <v>0</v>
      </c>
    </row>
    <row r="30" ht="15.75" customHeight="1">
      <c r="D30" s="517" t="s">
        <v>569</v>
      </c>
      <c r="E30" s="469"/>
      <c r="F30" s="470"/>
      <c r="G30" s="518"/>
      <c r="H30" s="469"/>
      <c r="I30" s="469"/>
      <c r="J30" s="469"/>
      <c r="K30" s="469"/>
      <c r="L30" s="469"/>
      <c r="M30" s="470"/>
      <c r="O30" s="521" t="s">
        <v>570</v>
      </c>
      <c r="P30" s="448"/>
      <c r="Q30" s="433"/>
      <c r="R30" s="433">
        <f>SUM(R7:R25)</f>
        <v>0</v>
      </c>
    </row>
    <row r="31" ht="15.75" customHeight="1">
      <c r="D31" s="223"/>
      <c r="E31" s="223"/>
      <c r="F31" s="223"/>
      <c r="G31" s="518"/>
      <c r="H31" s="469"/>
      <c r="I31" s="469"/>
      <c r="J31" s="469"/>
      <c r="K31" s="469"/>
      <c r="L31" s="469"/>
      <c r="M31" s="470"/>
      <c r="O31" s="522" t="s">
        <v>571</v>
      </c>
      <c r="P31" s="523"/>
      <c r="Q31" s="433"/>
      <c r="R31" s="433"/>
      <c r="S31" s="433">
        <f>SUM(S7:S25)</f>
        <v>0</v>
      </c>
    </row>
    <row r="32" ht="15.75" customHeight="1">
      <c r="D32" s="223"/>
      <c r="E32" s="223"/>
      <c r="F32" s="223"/>
      <c r="G32" s="518"/>
      <c r="H32" s="469"/>
      <c r="I32" s="469"/>
      <c r="J32" s="469"/>
      <c r="K32" s="469"/>
      <c r="L32" s="469"/>
      <c r="M32" s="470"/>
      <c r="O32" s="524" t="s">
        <v>572</v>
      </c>
      <c r="P32" s="525"/>
      <c r="Q32" s="397"/>
      <c r="R32" s="397"/>
      <c r="S32" s="526">
        <f>SUM(T7:T25)</f>
        <v>0</v>
      </c>
      <c r="T32" s="470"/>
    </row>
    <row r="33" ht="15.75" customHeight="1">
      <c r="D33" s="223"/>
      <c r="E33" s="223"/>
      <c r="F33" s="223"/>
      <c r="G33" s="518"/>
      <c r="H33" s="469"/>
      <c r="I33" s="469"/>
      <c r="J33" s="469"/>
      <c r="K33" s="469"/>
      <c r="L33" s="469"/>
      <c r="M33" s="470"/>
      <c r="O33" s="518"/>
      <c r="P33" s="527" t="s">
        <v>573</v>
      </c>
      <c r="Q33" s="469"/>
      <c r="R33" s="397"/>
      <c r="S33" s="526">
        <f>S32*0.1</f>
        <v>0</v>
      </c>
      <c r="T33" s="470"/>
    </row>
    <row r="34" ht="15.75" customHeight="1">
      <c r="D34" s="517" t="s">
        <v>574</v>
      </c>
      <c r="E34" s="469"/>
      <c r="F34" s="470"/>
      <c r="G34" s="518"/>
      <c r="H34" s="469"/>
      <c r="I34" s="469"/>
      <c r="J34" s="469"/>
      <c r="K34" s="469"/>
      <c r="L34" s="469"/>
      <c r="M34" s="470"/>
      <c r="O34" s="302"/>
      <c r="P34" s="302"/>
      <c r="Q34" s="302"/>
      <c r="S34" s="213"/>
      <c r="T34" s="213"/>
    </row>
    <row r="35" ht="15.75" customHeight="1">
      <c r="D35" s="517" t="s">
        <v>575</v>
      </c>
      <c r="E35" s="469"/>
      <c r="F35" s="470"/>
      <c r="G35" s="528"/>
      <c r="M35" s="529"/>
      <c r="O35" s="530" t="s">
        <v>576</v>
      </c>
      <c r="P35" s="469"/>
      <c r="Q35" s="469"/>
      <c r="R35" s="397"/>
      <c r="S35" s="526">
        <f>S32+S33</f>
        <v>0</v>
      </c>
      <c r="T35" s="470"/>
    </row>
    <row r="36" ht="15.75" customHeight="1">
      <c r="D36" s="517" t="s">
        <v>577</v>
      </c>
      <c r="E36" s="469"/>
      <c r="F36" s="470"/>
      <c r="G36" s="518"/>
      <c r="H36" s="469"/>
      <c r="I36" s="469"/>
      <c r="J36" s="469"/>
      <c r="K36" s="469"/>
      <c r="L36" s="469"/>
      <c r="M36" s="470"/>
    </row>
    <row r="37" ht="15.75" customHeight="1">
      <c r="D37" s="517" t="s">
        <v>578</v>
      </c>
      <c r="E37" s="469"/>
      <c r="F37" s="470"/>
      <c r="G37" s="531"/>
      <c r="H37" s="532"/>
      <c r="I37" s="532"/>
      <c r="J37" s="532"/>
      <c r="K37" s="532"/>
      <c r="L37" s="532"/>
      <c r="M37" s="533"/>
    </row>
    <row r="38" ht="15.75" customHeight="1">
      <c r="D38" s="518" t="s">
        <v>579</v>
      </c>
      <c r="E38" s="469"/>
      <c r="F38" s="470"/>
      <c r="G38" s="518"/>
      <c r="H38" s="469"/>
      <c r="I38" s="469"/>
      <c r="J38" s="469"/>
      <c r="K38" s="469"/>
      <c r="L38" s="469"/>
      <c r="M38" s="470"/>
    </row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0">
    <mergeCell ref="D29:F29"/>
    <mergeCell ref="D30:F30"/>
    <mergeCell ref="D34:F34"/>
    <mergeCell ref="D35:F35"/>
    <mergeCell ref="D36:F36"/>
    <mergeCell ref="D37:F37"/>
    <mergeCell ref="D38:F38"/>
    <mergeCell ref="O29:P29"/>
    <mergeCell ref="O30:P30"/>
    <mergeCell ref="B3:V3"/>
    <mergeCell ref="B4:V4"/>
    <mergeCell ref="B5:V5"/>
    <mergeCell ref="V6:V7"/>
    <mergeCell ref="B29:B30"/>
    <mergeCell ref="G29:M29"/>
    <mergeCell ref="G30:M30"/>
    <mergeCell ref="G34:M34"/>
    <mergeCell ref="G35:M35"/>
    <mergeCell ref="O35:Q35"/>
    <mergeCell ref="S35:T35"/>
    <mergeCell ref="G36:M36"/>
    <mergeCell ref="G37:M37"/>
    <mergeCell ref="G38:M38"/>
    <mergeCell ref="G31:M31"/>
    <mergeCell ref="O31:P31"/>
    <mergeCell ref="G32:M32"/>
    <mergeCell ref="S32:T32"/>
    <mergeCell ref="G33:M33"/>
    <mergeCell ref="P33:Q33"/>
    <mergeCell ref="S33:T33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2023-11-29T19:33:33Z</dcterms:created>
  <dc:creator>Thibault Toussaint</dc:creator>
</cp:coreProperties>
</file>